
<file path=[Content_Types].xml><?xml version="1.0" encoding="utf-8"?>
<Types xmlns="http://schemas.openxmlformats.org/package/2006/content-types">
  <Override PartName="/xl/worksheets/sheet7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theme/theme1.xml" ContentType="application/vnd.openxmlformats-officedocument.theme+xml"/>
  <Override PartName="/xl/charts/chart1.xml" ContentType="application/vnd.openxmlformats-officedocument.drawingml.chart+xml"/>
  <Override PartName="/xl/worksheets/sheet9.xml" ContentType="application/vnd.openxmlformats-officedocument.spreadsheetml.workshee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worksheets/sheet4.xml" ContentType="application/vnd.openxmlformats-officedocument.spreadsheetml.worksheet+xml"/>
  <Default Extension="xml" ContentType="application/xml"/>
  <Override PartName="/xl/worksheets/sheet6.xml" ContentType="application/vnd.openxmlformats-officedocument.spreadsheetml.worksheet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charts/chart5.xml" ContentType="application/vnd.openxmlformats-officedocument.drawingml.chart+xml"/>
  <Override PartName="/xl/worksheets/sheet1.xml" ContentType="application/vnd.openxmlformats-officedocument.spreadsheetml.worksheet+xml"/>
  <Override PartName="/xl/worksheets/sheet8.xml" ContentType="application/vnd.openxmlformats-officedocument.spreadsheetml.workshee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worksheets/sheet3.xml" ContentType="application/vnd.openxmlformats-officedocument.spreadsheetml.worksheet+xml"/>
  <Default Extension="rels" ContentType="application/vnd.openxmlformats-package.relationships+xml"/>
  <Override PartName="/xl/drawings/drawing5.xml" ContentType="application/vnd.openxmlformats-officedocument.drawing+xml"/>
  <Override PartName="/xl/worksheets/sheet5.xml" ContentType="application/vnd.openxmlformats-officedocument.spreadsheetml.worksheet+xml"/>
  <Override PartName="/xl/charts/chart4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35220" windowHeight="22880" tabRatio="500"/>
  </bookViews>
  <sheets>
    <sheet name="ReadMe" sheetId="1" r:id="rId1"/>
    <sheet name="BalSht" sheetId="12" r:id="rId2"/>
    <sheet name="IncExp" sheetId="2" r:id="rId3"/>
    <sheet name="RecExp" sheetId="11" r:id="rId4"/>
    <sheet name="Scen 1" sheetId="4" r:id="rId5"/>
    <sheet name="Scen 2" sheetId="5" r:id="rId6"/>
    <sheet name="Scen 3" sheetId="6" r:id="rId7"/>
    <sheet name="Scen 4" sheetId="7" r:id="rId8"/>
    <sheet name="Scen 5" sheetId="8" r:id="rId9"/>
  </sheets>
  <definedNames>
    <definedName name="_xlnm.Print_Area" localSheetId="0">BalSht!$A$1:$G$50</definedName>
    <definedName name="_xlnm.Print_Area" localSheetId="5">'Scen 2'!$A$50:$Q$97</definedName>
    <definedName name="_xlnm.Print_Area" localSheetId="8">'Scen 5'!$A$1:$Q$97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G10" i="12"/>
  <c r="G21"/>
  <c r="G26"/>
  <c r="G31"/>
  <c r="D40"/>
  <c r="G40"/>
  <c r="G42"/>
  <c r="G45"/>
  <c r="C42" i="2"/>
  <c r="G15"/>
  <c r="G8"/>
  <c r="C18"/>
  <c r="G30"/>
  <c r="C45"/>
  <c r="C25"/>
  <c r="C32"/>
  <c r="C39"/>
  <c r="G22"/>
  <c r="G36"/>
  <c r="G44"/>
  <c r="G45"/>
  <c r="G48"/>
  <c r="D18"/>
  <c r="D25"/>
  <c r="D32"/>
  <c r="D39"/>
  <c r="D45"/>
  <c r="H36"/>
  <c r="H22"/>
  <c r="H15"/>
  <c r="H30"/>
  <c r="H45"/>
  <c r="H48"/>
  <c r="H8"/>
  <c r="G7" i="1"/>
  <c r="G38" i="11"/>
  <c r="G33"/>
  <c r="G34"/>
  <c r="G35"/>
  <c r="G36"/>
  <c r="G37"/>
  <c r="G39"/>
  <c r="C7"/>
  <c r="C8"/>
  <c r="C9"/>
  <c r="C10"/>
  <c r="C11"/>
  <c r="C12"/>
  <c r="C15"/>
  <c r="C16"/>
  <c r="C17"/>
  <c r="C18"/>
  <c r="C19"/>
  <c r="C22"/>
  <c r="C23"/>
  <c r="C24"/>
  <c r="C25"/>
  <c r="C26"/>
  <c r="C29"/>
  <c r="C30"/>
  <c r="C31"/>
  <c r="C32"/>
  <c r="C33"/>
  <c r="G27"/>
  <c r="G28"/>
  <c r="G29"/>
  <c r="G30"/>
  <c r="G12"/>
  <c r="G13"/>
  <c r="G14"/>
  <c r="G15"/>
  <c r="G16"/>
  <c r="G20"/>
  <c r="G21"/>
  <c r="G22"/>
  <c r="G23"/>
  <c r="G24"/>
  <c r="C39"/>
  <c r="G9"/>
  <c r="G42"/>
  <c r="H39"/>
  <c r="H30"/>
  <c r="H24"/>
  <c r="H16"/>
  <c r="H9"/>
  <c r="D39"/>
  <c r="D33"/>
  <c r="D26"/>
  <c r="D19"/>
  <c r="D12"/>
  <c r="H42"/>
  <c r="B55" i="4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E57"/>
  <c r="F57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7"/>
  <c r="M88"/>
  <c r="M89"/>
  <c r="M90"/>
  <c r="M91"/>
  <c r="M92"/>
  <c r="M93"/>
  <c r="M94"/>
  <c r="M95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D55"/>
  <c r="D56"/>
  <c r="C55"/>
  <c r="C56"/>
  <c r="K55"/>
  <c r="K56"/>
  <c r="K57"/>
  <c r="K58"/>
  <c r="K59"/>
  <c r="K60"/>
  <c r="K61"/>
  <c r="K62"/>
  <c r="K63"/>
  <c r="K64"/>
  <c r="K65"/>
  <c r="K66"/>
  <c r="K67"/>
  <c r="K68"/>
  <c r="K69"/>
  <c r="K70"/>
  <c r="K71"/>
  <c r="K73"/>
  <c r="K74"/>
  <c r="K75"/>
  <c r="K76"/>
  <c r="L55"/>
  <c r="N55"/>
  <c r="G55"/>
  <c r="I55"/>
  <c r="O55"/>
  <c r="F56"/>
  <c r="A50"/>
  <c r="P55"/>
  <c r="G56"/>
  <c r="I56"/>
  <c r="L56"/>
  <c r="N56"/>
  <c r="O56"/>
  <c r="P56"/>
  <c r="G57"/>
  <c r="I57"/>
  <c r="L57"/>
  <c r="N57"/>
  <c r="O57"/>
  <c r="P57"/>
  <c r="G58"/>
  <c r="I58"/>
  <c r="L58"/>
  <c r="N58"/>
  <c r="O58"/>
  <c r="P58"/>
  <c r="G59"/>
  <c r="I59"/>
  <c r="L59"/>
  <c r="N59"/>
  <c r="O59"/>
  <c r="P59"/>
  <c r="G60"/>
  <c r="I60"/>
  <c r="L60"/>
  <c r="N60"/>
  <c r="O60"/>
  <c r="P60"/>
  <c r="G61"/>
  <c r="I61"/>
  <c r="L61"/>
  <c r="N61"/>
  <c r="O61"/>
  <c r="P61"/>
  <c r="G62"/>
  <c r="I62"/>
  <c r="L62"/>
  <c r="N62"/>
  <c r="O62"/>
  <c r="P62"/>
  <c r="G63"/>
  <c r="I63"/>
  <c r="L63"/>
  <c r="N63"/>
  <c r="O63"/>
  <c r="P63"/>
  <c r="G64"/>
  <c r="I64"/>
  <c r="L64"/>
  <c r="N64"/>
  <c r="O64"/>
  <c r="P64"/>
  <c r="G65"/>
  <c r="I65"/>
  <c r="L65"/>
  <c r="N65"/>
  <c r="O65"/>
  <c r="P65"/>
  <c r="G66"/>
  <c r="I66"/>
  <c r="L66"/>
  <c r="N66"/>
  <c r="O66"/>
  <c r="P66"/>
  <c r="G67"/>
  <c r="I67"/>
  <c r="L67"/>
  <c r="N67"/>
  <c r="O67"/>
  <c r="P67"/>
  <c r="G68"/>
  <c r="I68"/>
  <c r="L68"/>
  <c r="N68"/>
  <c r="O68"/>
  <c r="P68"/>
  <c r="G69"/>
  <c r="I69"/>
  <c r="L69"/>
  <c r="N69"/>
  <c r="O69"/>
  <c r="P69"/>
  <c r="G70"/>
  <c r="I70"/>
  <c r="L70"/>
  <c r="N70"/>
  <c r="O70"/>
  <c r="P70"/>
  <c r="G71"/>
  <c r="I71"/>
  <c r="L71"/>
  <c r="N71"/>
  <c r="O71"/>
  <c r="P71"/>
  <c r="G72"/>
  <c r="I72"/>
  <c r="L72"/>
  <c r="N72"/>
  <c r="O72"/>
  <c r="P72"/>
  <c r="G73"/>
  <c r="I73"/>
  <c r="L73"/>
  <c r="N73"/>
  <c r="O73"/>
  <c r="P73"/>
  <c r="G74"/>
  <c r="I74"/>
  <c r="L74"/>
  <c r="N74"/>
  <c r="O74"/>
  <c r="P74"/>
  <c r="G75"/>
  <c r="I75"/>
  <c r="L75"/>
  <c r="N75"/>
  <c r="O75"/>
  <c r="P75"/>
  <c r="G76"/>
  <c r="I76"/>
  <c r="L76"/>
  <c r="N76"/>
  <c r="O76"/>
  <c r="P76"/>
  <c r="G77"/>
  <c r="I77"/>
  <c r="L77"/>
  <c r="N77"/>
  <c r="O77"/>
  <c r="P77"/>
  <c r="G78"/>
  <c r="I78"/>
  <c r="L78"/>
  <c r="N78"/>
  <c r="O78"/>
  <c r="P78"/>
  <c r="G79"/>
  <c r="I79"/>
  <c r="L79"/>
  <c r="N79"/>
  <c r="O79"/>
  <c r="P79"/>
  <c r="G80"/>
  <c r="I80"/>
  <c r="L80"/>
  <c r="N80"/>
  <c r="O80"/>
  <c r="P80"/>
  <c r="G81"/>
  <c r="I81"/>
  <c r="L81"/>
  <c r="N81"/>
  <c r="O81"/>
  <c r="P81"/>
  <c r="G82"/>
  <c r="I82"/>
  <c r="L82"/>
  <c r="N82"/>
  <c r="O82"/>
  <c r="P82"/>
  <c r="G83"/>
  <c r="I83"/>
  <c r="L83"/>
  <c r="N83"/>
  <c r="O83"/>
  <c r="P83"/>
  <c r="G84"/>
  <c r="I84"/>
  <c r="L84"/>
  <c r="N84"/>
  <c r="O84"/>
  <c r="P84"/>
  <c r="G85"/>
  <c r="I85"/>
  <c r="L85"/>
  <c r="N85"/>
  <c r="O85"/>
  <c r="P85"/>
  <c r="G86"/>
  <c r="I86"/>
  <c r="L86"/>
  <c r="N86"/>
  <c r="O86"/>
  <c r="P86"/>
  <c r="G87"/>
  <c r="I87"/>
  <c r="L87"/>
  <c r="N87"/>
  <c r="O87"/>
  <c r="P87"/>
  <c r="G88"/>
  <c r="I88"/>
  <c r="L88"/>
  <c r="N88"/>
  <c r="O88"/>
  <c r="P88"/>
  <c r="G89"/>
  <c r="I89"/>
  <c r="L89"/>
  <c r="N89"/>
  <c r="O89"/>
  <c r="P89"/>
  <c r="G90"/>
  <c r="I90"/>
  <c r="L90"/>
  <c r="N90"/>
  <c r="O90"/>
  <c r="P90"/>
  <c r="G91"/>
  <c r="I91"/>
  <c r="L91"/>
  <c r="N91"/>
  <c r="O91"/>
  <c r="P91"/>
  <c r="G92"/>
  <c r="I92"/>
  <c r="L92"/>
  <c r="N92"/>
  <c r="O92"/>
  <c r="P92"/>
  <c r="G93"/>
  <c r="I93"/>
  <c r="L93"/>
  <c r="N93"/>
  <c r="O93"/>
  <c r="P93"/>
  <c r="G94"/>
  <c r="I94"/>
  <c r="L94"/>
  <c r="N94"/>
  <c r="O94"/>
  <c r="P94"/>
  <c r="G95"/>
  <c r="I95"/>
  <c r="L95"/>
  <c r="N95"/>
  <c r="O95"/>
  <c r="P95"/>
  <c r="B55" i="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F57"/>
  <c r="E61"/>
  <c r="P55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M87"/>
  <c r="M88"/>
  <c r="M89"/>
  <c r="M90"/>
  <c r="M91"/>
  <c r="M92"/>
  <c r="M93"/>
  <c r="M94"/>
  <c r="M95"/>
  <c r="M73"/>
  <c r="M74"/>
  <c r="M75"/>
  <c r="M76"/>
  <c r="M77"/>
  <c r="M78"/>
  <c r="M79"/>
  <c r="M80"/>
  <c r="M81"/>
  <c r="M82"/>
  <c r="M83"/>
  <c r="M84"/>
  <c r="M85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D55"/>
  <c r="D56"/>
  <c r="D58"/>
  <c r="D59"/>
  <c r="D60"/>
  <c r="C55"/>
  <c r="C56"/>
  <c r="C57"/>
  <c r="C58"/>
  <c r="C59"/>
  <c r="C60"/>
  <c r="K55"/>
  <c r="K56"/>
  <c r="K57"/>
  <c r="K58"/>
  <c r="K59"/>
  <c r="K60"/>
  <c r="K61"/>
  <c r="K62"/>
  <c r="K63"/>
  <c r="K64"/>
  <c r="K65"/>
  <c r="K66"/>
  <c r="K67"/>
  <c r="K68"/>
  <c r="K69"/>
  <c r="K70"/>
  <c r="K71"/>
  <c r="K73"/>
  <c r="K74"/>
  <c r="K75"/>
  <c r="K76"/>
  <c r="L55"/>
  <c r="N55"/>
  <c r="G55"/>
  <c r="I55"/>
  <c r="O55"/>
  <c r="F56"/>
  <c r="A50"/>
  <c r="G56"/>
  <c r="I56"/>
  <c r="L56"/>
  <c r="N56"/>
  <c r="O56"/>
  <c r="P56"/>
  <c r="G57"/>
  <c r="I57"/>
  <c r="L57"/>
  <c r="N57"/>
  <c r="O57"/>
  <c r="P57"/>
  <c r="G58"/>
  <c r="I58"/>
  <c r="L58"/>
  <c r="N58"/>
  <c r="O58"/>
  <c r="P58"/>
  <c r="G59"/>
  <c r="I59"/>
  <c r="L59"/>
  <c r="N59"/>
  <c r="O59"/>
  <c r="P59"/>
  <c r="G60"/>
  <c r="I60"/>
  <c r="L60"/>
  <c r="N60"/>
  <c r="O60"/>
  <c r="P60"/>
  <c r="G61"/>
  <c r="I61"/>
  <c r="L61"/>
  <c r="N61"/>
  <c r="O61"/>
  <c r="P61"/>
  <c r="G62"/>
  <c r="I62"/>
  <c r="L62"/>
  <c r="N62"/>
  <c r="O62"/>
  <c r="P62"/>
  <c r="G63"/>
  <c r="I63"/>
  <c r="L63"/>
  <c r="N63"/>
  <c r="O63"/>
  <c r="P63"/>
  <c r="G64"/>
  <c r="I64"/>
  <c r="L64"/>
  <c r="N64"/>
  <c r="O64"/>
  <c r="P64"/>
  <c r="G65"/>
  <c r="I65"/>
  <c r="L65"/>
  <c r="N65"/>
  <c r="O65"/>
  <c r="P65"/>
  <c r="G66"/>
  <c r="I66"/>
  <c r="L66"/>
  <c r="N66"/>
  <c r="O66"/>
  <c r="P66"/>
  <c r="G67"/>
  <c r="I67"/>
  <c r="L67"/>
  <c r="N67"/>
  <c r="O67"/>
  <c r="P67"/>
  <c r="G68"/>
  <c r="I68"/>
  <c r="L68"/>
  <c r="N68"/>
  <c r="O68"/>
  <c r="P68"/>
  <c r="G69"/>
  <c r="I69"/>
  <c r="L69"/>
  <c r="N69"/>
  <c r="O69"/>
  <c r="P69"/>
  <c r="G70"/>
  <c r="I70"/>
  <c r="L70"/>
  <c r="N70"/>
  <c r="O70"/>
  <c r="P70"/>
  <c r="G71"/>
  <c r="I71"/>
  <c r="L71"/>
  <c r="N71"/>
  <c r="O71"/>
  <c r="P71"/>
  <c r="G72"/>
  <c r="I72"/>
  <c r="L72"/>
  <c r="N72"/>
  <c r="O72"/>
  <c r="P72"/>
  <c r="G73"/>
  <c r="I73"/>
  <c r="L73"/>
  <c r="N73"/>
  <c r="O73"/>
  <c r="P73"/>
  <c r="G74"/>
  <c r="I74"/>
  <c r="L74"/>
  <c r="N74"/>
  <c r="O74"/>
  <c r="P74"/>
  <c r="G75"/>
  <c r="I75"/>
  <c r="L75"/>
  <c r="N75"/>
  <c r="O75"/>
  <c r="P75"/>
  <c r="G76"/>
  <c r="I76"/>
  <c r="L76"/>
  <c r="N76"/>
  <c r="O76"/>
  <c r="P76"/>
  <c r="G77"/>
  <c r="I77"/>
  <c r="L77"/>
  <c r="N77"/>
  <c r="O77"/>
  <c r="P77"/>
  <c r="G78"/>
  <c r="I78"/>
  <c r="L78"/>
  <c r="N78"/>
  <c r="O78"/>
  <c r="P78"/>
  <c r="G79"/>
  <c r="I79"/>
  <c r="L79"/>
  <c r="N79"/>
  <c r="O79"/>
  <c r="P79"/>
  <c r="G80"/>
  <c r="I80"/>
  <c r="L80"/>
  <c r="N80"/>
  <c r="O80"/>
  <c r="P80"/>
  <c r="G81"/>
  <c r="I81"/>
  <c r="L81"/>
  <c r="N81"/>
  <c r="O81"/>
  <c r="P81"/>
  <c r="G82"/>
  <c r="I82"/>
  <c r="L82"/>
  <c r="N82"/>
  <c r="O82"/>
  <c r="P82"/>
  <c r="G83"/>
  <c r="I83"/>
  <c r="L83"/>
  <c r="N83"/>
  <c r="O83"/>
  <c r="P83"/>
  <c r="G84"/>
  <c r="I84"/>
  <c r="L84"/>
  <c r="N84"/>
  <c r="O84"/>
  <c r="P84"/>
  <c r="G85"/>
  <c r="I85"/>
  <c r="L85"/>
  <c r="N85"/>
  <c r="O85"/>
  <c r="P85"/>
  <c r="G86"/>
  <c r="I86"/>
  <c r="L86"/>
  <c r="N86"/>
  <c r="O86"/>
  <c r="P86"/>
  <c r="G87"/>
  <c r="I87"/>
  <c r="L87"/>
  <c r="N87"/>
  <c r="O87"/>
  <c r="P87"/>
  <c r="G88"/>
  <c r="I88"/>
  <c r="L88"/>
  <c r="N88"/>
  <c r="O88"/>
  <c r="P88"/>
  <c r="G89"/>
  <c r="I89"/>
  <c r="L89"/>
  <c r="N89"/>
  <c r="O89"/>
  <c r="P89"/>
  <c r="G90"/>
  <c r="I90"/>
  <c r="L90"/>
  <c r="N90"/>
  <c r="O90"/>
  <c r="P90"/>
  <c r="G91"/>
  <c r="I91"/>
  <c r="L91"/>
  <c r="N91"/>
  <c r="O91"/>
  <c r="P91"/>
  <c r="G92"/>
  <c r="I92"/>
  <c r="L92"/>
  <c r="N92"/>
  <c r="O92"/>
  <c r="P92"/>
  <c r="G93"/>
  <c r="I93"/>
  <c r="L93"/>
  <c r="N93"/>
  <c r="O93"/>
  <c r="P93"/>
  <c r="G94"/>
  <c r="I94"/>
  <c r="L94"/>
  <c r="N94"/>
  <c r="O94"/>
  <c r="P94"/>
  <c r="G95"/>
  <c r="I95"/>
  <c r="L95"/>
  <c r="N95"/>
  <c r="O95"/>
  <c r="P95"/>
  <c r="B55" i="6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E61"/>
  <c r="F61"/>
  <c r="M87"/>
  <c r="M88"/>
  <c r="M89"/>
  <c r="M90"/>
  <c r="M91"/>
  <c r="M92"/>
  <c r="M93"/>
  <c r="M94"/>
  <c r="M95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D55"/>
  <c r="D56"/>
  <c r="D57"/>
  <c r="D58"/>
  <c r="D59"/>
  <c r="D60"/>
  <c r="C55"/>
  <c r="C56"/>
  <c r="C57"/>
  <c r="C58"/>
  <c r="C59"/>
  <c r="C60"/>
  <c r="K55"/>
  <c r="L55"/>
  <c r="N55"/>
  <c r="G55"/>
  <c r="I55"/>
  <c r="O55"/>
  <c r="K56"/>
  <c r="K57"/>
  <c r="K58"/>
  <c r="K59"/>
  <c r="K60"/>
  <c r="K61"/>
  <c r="K62"/>
  <c r="K63"/>
  <c r="K64"/>
  <c r="K65"/>
  <c r="K66"/>
  <c r="K67"/>
  <c r="K68"/>
  <c r="K69"/>
  <c r="K70"/>
  <c r="K71"/>
  <c r="K73"/>
  <c r="K74"/>
  <c r="K75"/>
  <c r="K76"/>
  <c r="F56"/>
  <c r="F57"/>
  <c r="F58"/>
  <c r="F59"/>
  <c r="F60"/>
  <c r="A50"/>
  <c r="P55"/>
  <c r="G56"/>
  <c r="I56"/>
  <c r="L56"/>
  <c r="N56"/>
  <c r="O56"/>
  <c r="P56"/>
  <c r="G57"/>
  <c r="I57"/>
  <c r="L57"/>
  <c r="N57"/>
  <c r="O57"/>
  <c r="P57"/>
  <c r="G58"/>
  <c r="I58"/>
  <c r="L58"/>
  <c r="N58"/>
  <c r="O58"/>
  <c r="P58"/>
  <c r="G59"/>
  <c r="I59"/>
  <c r="L59"/>
  <c r="N59"/>
  <c r="O59"/>
  <c r="P59"/>
  <c r="G60"/>
  <c r="I60"/>
  <c r="L60"/>
  <c r="N60"/>
  <c r="O60"/>
  <c r="P60"/>
  <c r="G61"/>
  <c r="I61"/>
  <c r="L61"/>
  <c r="N61"/>
  <c r="O61"/>
  <c r="P61"/>
  <c r="G62"/>
  <c r="I62"/>
  <c r="L62"/>
  <c r="N62"/>
  <c r="O62"/>
  <c r="P62"/>
  <c r="G63"/>
  <c r="I63"/>
  <c r="L63"/>
  <c r="N63"/>
  <c r="O63"/>
  <c r="P63"/>
  <c r="G64"/>
  <c r="I64"/>
  <c r="L64"/>
  <c r="N64"/>
  <c r="O64"/>
  <c r="P64"/>
  <c r="G65"/>
  <c r="I65"/>
  <c r="L65"/>
  <c r="N65"/>
  <c r="O65"/>
  <c r="P65"/>
  <c r="G66"/>
  <c r="I66"/>
  <c r="L66"/>
  <c r="N66"/>
  <c r="O66"/>
  <c r="P66"/>
  <c r="G67"/>
  <c r="I67"/>
  <c r="L67"/>
  <c r="N67"/>
  <c r="O67"/>
  <c r="P67"/>
  <c r="G68"/>
  <c r="I68"/>
  <c r="L68"/>
  <c r="N68"/>
  <c r="O68"/>
  <c r="P68"/>
  <c r="G69"/>
  <c r="I69"/>
  <c r="L69"/>
  <c r="N69"/>
  <c r="O69"/>
  <c r="P69"/>
  <c r="G70"/>
  <c r="I70"/>
  <c r="L70"/>
  <c r="N70"/>
  <c r="O70"/>
  <c r="P70"/>
  <c r="G71"/>
  <c r="I71"/>
  <c r="L71"/>
  <c r="N71"/>
  <c r="O71"/>
  <c r="P71"/>
  <c r="G72"/>
  <c r="I72"/>
  <c r="L72"/>
  <c r="N72"/>
  <c r="O72"/>
  <c r="P72"/>
  <c r="G73"/>
  <c r="I73"/>
  <c r="L73"/>
  <c r="N73"/>
  <c r="O73"/>
  <c r="P73"/>
  <c r="G74"/>
  <c r="I74"/>
  <c r="L74"/>
  <c r="N74"/>
  <c r="O74"/>
  <c r="P74"/>
  <c r="G75"/>
  <c r="I75"/>
  <c r="L75"/>
  <c r="N75"/>
  <c r="O75"/>
  <c r="P75"/>
  <c r="G76"/>
  <c r="I76"/>
  <c r="L76"/>
  <c r="N76"/>
  <c r="O76"/>
  <c r="P76"/>
  <c r="G77"/>
  <c r="I77"/>
  <c r="L77"/>
  <c r="N77"/>
  <c r="O77"/>
  <c r="P77"/>
  <c r="G78"/>
  <c r="I78"/>
  <c r="L78"/>
  <c r="N78"/>
  <c r="O78"/>
  <c r="P78"/>
  <c r="G79"/>
  <c r="I79"/>
  <c r="L79"/>
  <c r="N79"/>
  <c r="O79"/>
  <c r="P79"/>
  <c r="G80"/>
  <c r="I80"/>
  <c r="L80"/>
  <c r="N80"/>
  <c r="O80"/>
  <c r="P80"/>
  <c r="G81"/>
  <c r="I81"/>
  <c r="L81"/>
  <c r="N81"/>
  <c r="O81"/>
  <c r="P81"/>
  <c r="G82"/>
  <c r="I82"/>
  <c r="L82"/>
  <c r="N82"/>
  <c r="O82"/>
  <c r="P82"/>
  <c r="G83"/>
  <c r="I83"/>
  <c r="L83"/>
  <c r="N83"/>
  <c r="O83"/>
  <c r="P83"/>
  <c r="G84"/>
  <c r="I84"/>
  <c r="L84"/>
  <c r="N84"/>
  <c r="O84"/>
  <c r="P84"/>
  <c r="G85"/>
  <c r="I85"/>
  <c r="L85"/>
  <c r="N85"/>
  <c r="O85"/>
  <c r="P85"/>
  <c r="G86"/>
  <c r="I86"/>
  <c r="L86"/>
  <c r="N86"/>
  <c r="O86"/>
  <c r="P86"/>
  <c r="G87"/>
  <c r="I87"/>
  <c r="L87"/>
  <c r="N87"/>
  <c r="O87"/>
  <c r="P87"/>
  <c r="G88"/>
  <c r="I88"/>
  <c r="L88"/>
  <c r="N88"/>
  <c r="O88"/>
  <c r="P88"/>
  <c r="G89"/>
  <c r="I89"/>
  <c r="L89"/>
  <c r="N89"/>
  <c r="O89"/>
  <c r="P89"/>
  <c r="G90"/>
  <c r="I90"/>
  <c r="L90"/>
  <c r="N90"/>
  <c r="O90"/>
  <c r="P90"/>
  <c r="G91"/>
  <c r="I91"/>
  <c r="L91"/>
  <c r="N91"/>
  <c r="O91"/>
  <c r="P91"/>
  <c r="G92"/>
  <c r="I92"/>
  <c r="L92"/>
  <c r="N92"/>
  <c r="O92"/>
  <c r="P92"/>
  <c r="G93"/>
  <c r="I93"/>
  <c r="L93"/>
  <c r="N93"/>
  <c r="O93"/>
  <c r="P93"/>
  <c r="G94"/>
  <c r="I94"/>
  <c r="L94"/>
  <c r="N94"/>
  <c r="O94"/>
  <c r="P94"/>
  <c r="G95"/>
  <c r="I95"/>
  <c r="L95"/>
  <c r="N95"/>
  <c r="O95"/>
  <c r="P95"/>
  <c r="B55" i="7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E65"/>
  <c r="F61"/>
  <c r="M55"/>
  <c r="M56"/>
  <c r="M57"/>
  <c r="M58"/>
  <c r="M59"/>
  <c r="M60"/>
  <c r="M61"/>
  <c r="M62"/>
  <c r="M63"/>
  <c r="M64"/>
  <c r="M65"/>
  <c r="M66"/>
  <c r="M67"/>
  <c r="M68"/>
  <c r="M69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M87"/>
  <c r="M88"/>
  <c r="M89"/>
  <c r="M90"/>
  <c r="M91"/>
  <c r="M92"/>
  <c r="M93"/>
  <c r="M94"/>
  <c r="M95"/>
  <c r="M70"/>
  <c r="M71"/>
  <c r="M72"/>
  <c r="M73"/>
  <c r="M74"/>
  <c r="M75"/>
  <c r="M76"/>
  <c r="M77"/>
  <c r="M78"/>
  <c r="M79"/>
  <c r="M80"/>
  <c r="M81"/>
  <c r="M82"/>
  <c r="M83"/>
  <c r="M84"/>
  <c r="M85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D55"/>
  <c r="D56"/>
  <c r="D57"/>
  <c r="D58"/>
  <c r="D59"/>
  <c r="D60"/>
  <c r="C55"/>
  <c r="C56"/>
  <c r="C57"/>
  <c r="C58"/>
  <c r="C59"/>
  <c r="C60"/>
  <c r="C61"/>
  <c r="C62"/>
  <c r="C63"/>
  <c r="C64"/>
  <c r="K55"/>
  <c r="K56"/>
  <c r="K57"/>
  <c r="K58"/>
  <c r="K59"/>
  <c r="K60"/>
  <c r="K61"/>
  <c r="K62"/>
  <c r="K63"/>
  <c r="K64"/>
  <c r="K65"/>
  <c r="K66"/>
  <c r="K67"/>
  <c r="K68"/>
  <c r="K69"/>
  <c r="K70"/>
  <c r="K71"/>
  <c r="K73"/>
  <c r="K74"/>
  <c r="K75"/>
  <c r="K76"/>
  <c r="L55"/>
  <c r="N55"/>
  <c r="G55"/>
  <c r="I55"/>
  <c r="O55"/>
  <c r="F56"/>
  <c r="F57"/>
  <c r="F58"/>
  <c r="F59"/>
  <c r="F60"/>
  <c r="E61"/>
  <c r="E62"/>
  <c r="E63"/>
  <c r="E64"/>
  <c r="A50"/>
  <c r="P55"/>
  <c r="G56"/>
  <c r="I56"/>
  <c r="L56"/>
  <c r="N56"/>
  <c r="O56"/>
  <c r="P56"/>
  <c r="G57"/>
  <c r="I57"/>
  <c r="L57"/>
  <c r="N57"/>
  <c r="O57"/>
  <c r="P57"/>
  <c r="G58"/>
  <c r="I58"/>
  <c r="L58"/>
  <c r="N58"/>
  <c r="O58"/>
  <c r="P58"/>
  <c r="G59"/>
  <c r="I59"/>
  <c r="L59"/>
  <c r="N59"/>
  <c r="O59"/>
  <c r="P59"/>
  <c r="G60"/>
  <c r="I60"/>
  <c r="L60"/>
  <c r="N60"/>
  <c r="O60"/>
  <c r="P60"/>
  <c r="G61"/>
  <c r="I61"/>
  <c r="L61"/>
  <c r="N61"/>
  <c r="O61"/>
  <c r="P61"/>
  <c r="G62"/>
  <c r="I62"/>
  <c r="L62"/>
  <c r="N62"/>
  <c r="O62"/>
  <c r="P62"/>
  <c r="G63"/>
  <c r="I63"/>
  <c r="L63"/>
  <c r="N63"/>
  <c r="O63"/>
  <c r="P63"/>
  <c r="G64"/>
  <c r="I64"/>
  <c r="L64"/>
  <c r="N64"/>
  <c r="O64"/>
  <c r="P64"/>
  <c r="G65"/>
  <c r="I65"/>
  <c r="L65"/>
  <c r="N65"/>
  <c r="O65"/>
  <c r="P65"/>
  <c r="G66"/>
  <c r="I66"/>
  <c r="L66"/>
  <c r="N66"/>
  <c r="O66"/>
  <c r="P66"/>
  <c r="G67"/>
  <c r="I67"/>
  <c r="L67"/>
  <c r="N67"/>
  <c r="O67"/>
  <c r="P67"/>
  <c r="G68"/>
  <c r="I68"/>
  <c r="L68"/>
  <c r="N68"/>
  <c r="O68"/>
  <c r="P68"/>
  <c r="G69"/>
  <c r="I69"/>
  <c r="L69"/>
  <c r="N69"/>
  <c r="O69"/>
  <c r="P69"/>
  <c r="G70"/>
  <c r="I70"/>
  <c r="L70"/>
  <c r="N70"/>
  <c r="O70"/>
  <c r="P70"/>
  <c r="G71"/>
  <c r="I71"/>
  <c r="L71"/>
  <c r="N71"/>
  <c r="O71"/>
  <c r="P71"/>
  <c r="G72"/>
  <c r="I72"/>
  <c r="L72"/>
  <c r="N72"/>
  <c r="O72"/>
  <c r="P72"/>
  <c r="G73"/>
  <c r="I73"/>
  <c r="L73"/>
  <c r="N73"/>
  <c r="O73"/>
  <c r="P73"/>
  <c r="G74"/>
  <c r="I74"/>
  <c r="L74"/>
  <c r="N74"/>
  <c r="O74"/>
  <c r="P74"/>
  <c r="G75"/>
  <c r="I75"/>
  <c r="L75"/>
  <c r="N75"/>
  <c r="O75"/>
  <c r="P75"/>
  <c r="G76"/>
  <c r="I76"/>
  <c r="L76"/>
  <c r="N76"/>
  <c r="O76"/>
  <c r="P76"/>
  <c r="G77"/>
  <c r="I77"/>
  <c r="L77"/>
  <c r="N77"/>
  <c r="O77"/>
  <c r="P77"/>
  <c r="G78"/>
  <c r="I78"/>
  <c r="L78"/>
  <c r="N78"/>
  <c r="O78"/>
  <c r="P78"/>
  <c r="G79"/>
  <c r="I79"/>
  <c r="L79"/>
  <c r="N79"/>
  <c r="O79"/>
  <c r="P79"/>
  <c r="G80"/>
  <c r="I80"/>
  <c r="L80"/>
  <c r="N80"/>
  <c r="O80"/>
  <c r="P80"/>
  <c r="G81"/>
  <c r="I81"/>
  <c r="L81"/>
  <c r="N81"/>
  <c r="O81"/>
  <c r="P81"/>
  <c r="G82"/>
  <c r="I82"/>
  <c r="L82"/>
  <c r="N82"/>
  <c r="O82"/>
  <c r="P82"/>
  <c r="G83"/>
  <c r="I83"/>
  <c r="L83"/>
  <c r="N83"/>
  <c r="O83"/>
  <c r="P83"/>
  <c r="G84"/>
  <c r="I84"/>
  <c r="L84"/>
  <c r="N84"/>
  <c r="O84"/>
  <c r="P84"/>
  <c r="G85"/>
  <c r="I85"/>
  <c r="L85"/>
  <c r="N85"/>
  <c r="O85"/>
  <c r="P85"/>
  <c r="G86"/>
  <c r="I86"/>
  <c r="L86"/>
  <c r="N86"/>
  <c r="O86"/>
  <c r="P86"/>
  <c r="G87"/>
  <c r="I87"/>
  <c r="L87"/>
  <c r="N87"/>
  <c r="O87"/>
  <c r="P87"/>
  <c r="G88"/>
  <c r="I88"/>
  <c r="L88"/>
  <c r="N88"/>
  <c r="O88"/>
  <c r="P88"/>
  <c r="G89"/>
  <c r="I89"/>
  <c r="L89"/>
  <c r="N89"/>
  <c r="O89"/>
  <c r="P89"/>
  <c r="G90"/>
  <c r="I90"/>
  <c r="L90"/>
  <c r="N90"/>
  <c r="O90"/>
  <c r="P90"/>
  <c r="G91"/>
  <c r="I91"/>
  <c r="L91"/>
  <c r="N91"/>
  <c r="O91"/>
  <c r="P91"/>
  <c r="G92"/>
  <c r="I92"/>
  <c r="L92"/>
  <c r="N92"/>
  <c r="O92"/>
  <c r="P92"/>
  <c r="G93"/>
  <c r="I93"/>
  <c r="L93"/>
  <c r="N93"/>
  <c r="O93"/>
  <c r="P93"/>
  <c r="G94"/>
  <c r="I94"/>
  <c r="L94"/>
  <c r="N94"/>
  <c r="O94"/>
  <c r="P94"/>
  <c r="G95"/>
  <c r="I95"/>
  <c r="L95"/>
  <c r="N95"/>
  <c r="O95"/>
  <c r="P95"/>
  <c r="B55" i="8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E65"/>
  <c r="F65"/>
  <c r="M55"/>
  <c r="M56"/>
  <c r="M57"/>
  <c r="M58"/>
  <c r="M59"/>
  <c r="M60"/>
  <c r="M61"/>
  <c r="M62"/>
  <c r="M63"/>
  <c r="M64"/>
  <c r="M65"/>
  <c r="M66"/>
  <c r="M67"/>
  <c r="M68"/>
  <c r="M69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M87"/>
  <c r="M88"/>
  <c r="M89"/>
  <c r="M90"/>
  <c r="M91"/>
  <c r="M92"/>
  <c r="M93"/>
  <c r="M94"/>
  <c r="M95"/>
  <c r="M70"/>
  <c r="M71"/>
  <c r="M72"/>
  <c r="M73"/>
  <c r="M74"/>
  <c r="M75"/>
  <c r="M76"/>
  <c r="M77"/>
  <c r="M78"/>
  <c r="M79"/>
  <c r="M80"/>
  <c r="M81"/>
  <c r="M82"/>
  <c r="M83"/>
  <c r="M84"/>
  <c r="M8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D55"/>
  <c r="D56"/>
  <c r="D57"/>
  <c r="D58"/>
  <c r="D59"/>
  <c r="D60"/>
  <c r="D61"/>
  <c r="D62"/>
  <c r="D63"/>
  <c r="D64"/>
  <c r="C55"/>
  <c r="C56"/>
  <c r="C57"/>
  <c r="C58"/>
  <c r="C59"/>
  <c r="C60"/>
  <c r="C61"/>
  <c r="C62"/>
  <c r="C63"/>
  <c r="C64"/>
  <c r="K55"/>
  <c r="K56"/>
  <c r="K57"/>
  <c r="K58"/>
  <c r="K59"/>
  <c r="K60"/>
  <c r="K61"/>
  <c r="K62"/>
  <c r="K63"/>
  <c r="K64"/>
  <c r="K65"/>
  <c r="K66"/>
  <c r="K67"/>
  <c r="K68"/>
  <c r="K69"/>
  <c r="K70"/>
  <c r="K71"/>
  <c r="K73"/>
  <c r="K74"/>
  <c r="K75"/>
  <c r="K76"/>
  <c r="L55"/>
  <c r="N55"/>
  <c r="G55"/>
  <c r="I55"/>
  <c r="O55"/>
  <c r="F56"/>
  <c r="F57"/>
  <c r="F58"/>
  <c r="F59"/>
  <c r="F60"/>
  <c r="F61"/>
  <c r="F62"/>
  <c r="F63"/>
  <c r="F64"/>
  <c r="A50"/>
  <c r="P55"/>
  <c r="G56"/>
  <c r="I56"/>
  <c r="L56"/>
  <c r="N56"/>
  <c r="O56"/>
  <c r="P56"/>
  <c r="G57"/>
  <c r="I57"/>
  <c r="L57"/>
  <c r="N57"/>
  <c r="O57"/>
  <c r="P57"/>
  <c r="G58"/>
  <c r="I58"/>
  <c r="L58"/>
  <c r="N58"/>
  <c r="O58"/>
  <c r="P58"/>
  <c r="G59"/>
  <c r="I59"/>
  <c r="L59"/>
  <c r="N59"/>
  <c r="O59"/>
  <c r="P59"/>
  <c r="G60"/>
  <c r="I60"/>
  <c r="L60"/>
  <c r="N60"/>
  <c r="O60"/>
  <c r="P60"/>
  <c r="G61"/>
  <c r="I61"/>
  <c r="L61"/>
  <c r="N61"/>
  <c r="O61"/>
  <c r="P61"/>
  <c r="G62"/>
  <c r="I62"/>
  <c r="L62"/>
  <c r="N62"/>
  <c r="O62"/>
  <c r="P62"/>
  <c r="G63"/>
  <c r="I63"/>
  <c r="L63"/>
  <c r="N63"/>
  <c r="O63"/>
  <c r="P63"/>
  <c r="G64"/>
  <c r="I64"/>
  <c r="L64"/>
  <c r="N64"/>
  <c r="O64"/>
  <c r="P64"/>
  <c r="G65"/>
  <c r="I65"/>
  <c r="L65"/>
  <c r="N65"/>
  <c r="O65"/>
  <c r="P65"/>
  <c r="G66"/>
  <c r="I66"/>
  <c r="L66"/>
  <c r="N66"/>
  <c r="O66"/>
  <c r="P66"/>
  <c r="G67"/>
  <c r="I67"/>
  <c r="L67"/>
  <c r="N67"/>
  <c r="O67"/>
  <c r="P67"/>
  <c r="G68"/>
  <c r="I68"/>
  <c r="L68"/>
  <c r="N68"/>
  <c r="O68"/>
  <c r="P68"/>
  <c r="G69"/>
  <c r="I69"/>
  <c r="L69"/>
  <c r="N69"/>
  <c r="O69"/>
  <c r="P69"/>
  <c r="G70"/>
  <c r="I70"/>
  <c r="L70"/>
  <c r="N70"/>
  <c r="O70"/>
  <c r="P70"/>
  <c r="G71"/>
  <c r="I71"/>
  <c r="L71"/>
  <c r="N71"/>
  <c r="O71"/>
  <c r="P71"/>
  <c r="G72"/>
  <c r="I72"/>
  <c r="L72"/>
  <c r="N72"/>
  <c r="O72"/>
  <c r="P72"/>
  <c r="G73"/>
  <c r="I73"/>
  <c r="L73"/>
  <c r="N73"/>
  <c r="O73"/>
  <c r="P73"/>
  <c r="G74"/>
  <c r="I74"/>
  <c r="L74"/>
  <c r="N74"/>
  <c r="O74"/>
  <c r="P74"/>
  <c r="G75"/>
  <c r="I75"/>
  <c r="L75"/>
  <c r="N75"/>
  <c r="O75"/>
  <c r="P75"/>
  <c r="G76"/>
  <c r="I76"/>
  <c r="L76"/>
  <c r="N76"/>
  <c r="O76"/>
  <c r="P76"/>
  <c r="G77"/>
  <c r="I77"/>
  <c r="L77"/>
  <c r="N77"/>
  <c r="O77"/>
  <c r="P77"/>
  <c r="G78"/>
  <c r="I78"/>
  <c r="L78"/>
  <c r="N78"/>
  <c r="O78"/>
  <c r="P78"/>
  <c r="G79"/>
  <c r="I79"/>
  <c r="L79"/>
  <c r="N79"/>
  <c r="O79"/>
  <c r="P79"/>
  <c r="G80"/>
  <c r="I80"/>
  <c r="L80"/>
  <c r="N80"/>
  <c r="O80"/>
  <c r="P80"/>
  <c r="G81"/>
  <c r="I81"/>
  <c r="L81"/>
  <c r="N81"/>
  <c r="O81"/>
  <c r="P81"/>
  <c r="G82"/>
  <c r="I82"/>
  <c r="L82"/>
  <c r="N82"/>
  <c r="O82"/>
  <c r="P82"/>
  <c r="G83"/>
  <c r="I83"/>
  <c r="L83"/>
  <c r="N83"/>
  <c r="O83"/>
  <c r="P83"/>
  <c r="G84"/>
  <c r="I84"/>
  <c r="L84"/>
  <c r="N84"/>
  <c r="O84"/>
  <c r="P84"/>
  <c r="G85"/>
  <c r="I85"/>
  <c r="L85"/>
  <c r="N85"/>
  <c r="O85"/>
  <c r="P85"/>
  <c r="G86"/>
  <c r="I86"/>
  <c r="L86"/>
  <c r="N86"/>
  <c r="O86"/>
  <c r="P86"/>
  <c r="G87"/>
  <c r="I87"/>
  <c r="L87"/>
  <c r="N87"/>
  <c r="O87"/>
  <c r="P87"/>
  <c r="G88"/>
  <c r="I88"/>
  <c r="L88"/>
  <c r="N88"/>
  <c r="O88"/>
  <c r="P88"/>
  <c r="G89"/>
  <c r="I89"/>
  <c r="L89"/>
  <c r="N89"/>
  <c r="O89"/>
  <c r="P89"/>
  <c r="G90"/>
  <c r="I90"/>
  <c r="L90"/>
  <c r="N90"/>
  <c r="O90"/>
  <c r="P90"/>
  <c r="G91"/>
  <c r="I91"/>
  <c r="L91"/>
  <c r="N91"/>
  <c r="O91"/>
  <c r="P91"/>
  <c r="G92"/>
  <c r="I92"/>
  <c r="L92"/>
  <c r="N92"/>
  <c r="O92"/>
  <c r="P92"/>
  <c r="G93"/>
  <c r="I93"/>
  <c r="L93"/>
  <c r="N93"/>
  <c r="O93"/>
  <c r="P93"/>
  <c r="G94"/>
  <c r="I94"/>
  <c r="L94"/>
  <c r="N94"/>
  <c r="O94"/>
  <c r="P94"/>
  <c r="G95"/>
  <c r="I95"/>
  <c r="L95"/>
  <c r="N95"/>
  <c r="O95"/>
  <c r="P95"/>
</calcChain>
</file>

<file path=xl/sharedStrings.xml><?xml version="1.0" encoding="utf-8"?>
<sst xmlns="http://schemas.openxmlformats.org/spreadsheetml/2006/main" count="378" uniqueCount="203">
  <si>
    <t>John and Jane Doe</t>
    <phoneticPr fontId="2" type="noConversion"/>
  </si>
  <si>
    <t>Drug stores</t>
  </si>
  <si>
    <t>John's Vanguard Account</t>
    <phoneticPr fontId="2" type="noConversion"/>
  </si>
  <si>
    <r>
      <t>Scenario 3</t>
    </r>
    <r>
      <rPr>
        <sz val="10"/>
        <rFont val="Verdana"/>
      </rPr>
      <t xml:space="preserve">: John and Jane both retire at age 66 </t>
    </r>
    <phoneticPr fontId="2" type="noConversion"/>
  </si>
  <si>
    <t>Balance Sheet for John and Jane Doe as of 12/31/2019</t>
    <phoneticPr fontId="2" type="noConversion"/>
  </si>
  <si>
    <t>Income and Expense Statement for 12 months ending 12/31/19</t>
    <phoneticPr fontId="2" type="noConversion"/>
  </si>
  <si>
    <t>Mortgage = $500K, Last payment due in December</t>
    <phoneticPr fontId="2" type="noConversion"/>
  </si>
  <si>
    <t>Recurring Expenses</t>
    <phoneticPr fontId="2" type="noConversion"/>
  </si>
  <si>
    <r>
      <t xml:space="preserve">Non-recurring expenses </t>
    </r>
    <r>
      <rPr>
        <sz val="10"/>
        <rFont val="Verdana"/>
      </rPr>
      <t>typically include ...</t>
    </r>
    <phoneticPr fontId="2" type="noConversion"/>
  </si>
  <si>
    <t>Total Recurring Expenses ……………………………………………………………………….</t>
    <phoneticPr fontId="2" type="noConversion"/>
  </si>
  <si>
    <t>Sample: John and Jane Doe's Retirement Plan.</t>
    <phoneticPr fontId="2" type="noConversion"/>
  </si>
  <si>
    <t>John'sSal</t>
    <phoneticPr fontId="2" type="noConversion"/>
  </si>
  <si>
    <t>John's Sal</t>
    <phoneticPr fontId="2" type="noConversion"/>
  </si>
  <si>
    <t>Jane's Sal</t>
    <phoneticPr fontId="2" type="noConversion"/>
  </si>
  <si>
    <t>John's SS</t>
    <phoneticPr fontId="2" type="noConversion"/>
  </si>
  <si>
    <t>Jane's SS</t>
    <phoneticPr fontId="8" type="noConversion"/>
  </si>
  <si>
    <t>Invest.Inc</t>
    <phoneticPr fontId="8" type="noConversion"/>
  </si>
  <si>
    <t>Other Inc</t>
    <phoneticPr fontId="8" type="noConversion"/>
  </si>
  <si>
    <t>Total Inc</t>
    <phoneticPr fontId="8" type="noConversion"/>
  </si>
  <si>
    <t>Rec.Exp</t>
    <phoneticPr fontId="8" type="noConversion"/>
  </si>
  <si>
    <t>Mortgage</t>
    <phoneticPr fontId="2" type="noConversion"/>
  </si>
  <si>
    <t>Inc.Taxes</t>
    <phoneticPr fontId="8" type="noConversion"/>
  </si>
  <si>
    <t>Other Exp</t>
    <phoneticPr fontId="8" type="noConversion"/>
  </si>
  <si>
    <t>Total Exp</t>
    <phoneticPr fontId="2" type="noConversion"/>
  </si>
  <si>
    <t>Surplus=Inv</t>
    <phoneticPr fontId="8" type="noConversion"/>
  </si>
  <si>
    <t>Year End Bal</t>
    <phoneticPr fontId="2" type="noConversion"/>
  </si>
  <si>
    <t xml:space="preserve"> OtherExp = Travel</t>
    <phoneticPr fontId="2" type="noConversion"/>
  </si>
  <si>
    <t xml:space="preserve"> Mortgage paid off</t>
    <phoneticPr fontId="2" type="noConversion"/>
  </si>
  <si>
    <t xml:space="preserve"> OtherExp = Major Med</t>
    <phoneticPr fontId="2" type="noConversion"/>
  </si>
  <si>
    <t xml:space="preserve"> Major Travel</t>
    <phoneticPr fontId="2" type="noConversion"/>
  </si>
  <si>
    <t xml:space="preserve"> OtherExp = Major Med</t>
    <phoneticPr fontId="2" type="noConversion"/>
  </si>
  <si>
    <t>UAF = "Un-Accounted For" account for trivial expenses</t>
    <phoneticPr fontId="2" type="noConversion"/>
  </si>
  <si>
    <t>OK so long as UAF &lt; 5% of total expenses</t>
    <phoneticPr fontId="2" type="noConversion"/>
  </si>
  <si>
    <t>CDs</t>
    <phoneticPr fontId="2" type="noConversion"/>
  </si>
  <si>
    <t>John's 401(k)</t>
    <phoneticPr fontId="2" type="noConversion"/>
  </si>
  <si>
    <t>Mass Mutual</t>
    <phoneticPr fontId="2" type="noConversion"/>
  </si>
  <si>
    <t>John's IRA</t>
    <phoneticPr fontId="2" type="noConversion"/>
  </si>
  <si>
    <t>Jane's Fidelity 401(k)</t>
    <phoneticPr fontId="2" type="noConversion"/>
  </si>
  <si>
    <t>Money market</t>
    <phoneticPr fontId="2" type="noConversion"/>
  </si>
  <si>
    <t>Mutual funds</t>
    <phoneticPr fontId="2" type="noConversion"/>
  </si>
  <si>
    <t>Mortgage</t>
    <phoneticPr fontId="2" type="noConversion"/>
  </si>
  <si>
    <t>2-year CD</t>
    <phoneticPr fontId="2" type="noConversion"/>
  </si>
  <si>
    <t>Money market</t>
    <phoneticPr fontId="2" type="noConversion"/>
  </si>
  <si>
    <t>Comments</t>
  </si>
  <si>
    <t>Income</t>
  </si>
  <si>
    <t>Miscellaneous</t>
  </si>
  <si>
    <t>Mortgage</t>
  </si>
  <si>
    <t>Cell phone</t>
  </si>
  <si>
    <t>Groceries</t>
  </si>
  <si>
    <t xml:space="preserve">   Total</t>
  </si>
  <si>
    <t>Registration</t>
  </si>
  <si>
    <t>Misc, UAF</t>
    <phoneticPr fontId="2" type="noConversion"/>
  </si>
  <si>
    <t>Scenario 5: John and Jane both retire at age 70.</t>
    <phoneticPr fontId="8" type="noConversion"/>
  </si>
  <si>
    <t xml:space="preserve"> Portfolio </t>
  </si>
  <si>
    <t>Year</t>
  </si>
  <si>
    <t>Restaurants</t>
  </si>
  <si>
    <t>Life</t>
  </si>
  <si>
    <t>Disability</t>
  </si>
  <si>
    <t>Long Term Care</t>
  </si>
  <si>
    <t>Transportation</t>
  </si>
  <si>
    <t>Morgan Stanley</t>
    <phoneticPr fontId="2" type="noConversion"/>
  </si>
  <si>
    <t>Personal Use Assets</t>
  </si>
  <si>
    <t>Total Expenses ……………………………………………………………………….</t>
  </si>
  <si>
    <t>Useful in practice to lump all recurring expenses into a single account</t>
    <phoneticPr fontId="2" type="noConversion"/>
  </si>
  <si>
    <t xml:space="preserve">   Total for 2 cars</t>
  </si>
  <si>
    <t>Investments</t>
  </si>
  <si>
    <t>IRA contributions</t>
  </si>
  <si>
    <t>401(k) Plan</t>
  </si>
  <si>
    <t>Social Security</t>
  </si>
  <si>
    <t>Total Investment Assets ………………………………………………..</t>
  </si>
  <si>
    <t xml:space="preserve">     Total Personal Use Assets</t>
  </si>
  <si>
    <t>Total Liabilities</t>
  </si>
  <si>
    <t>Scenario 1:  John and Jane both retire at age 62.</t>
    <phoneticPr fontId="8" type="noConversion"/>
  </si>
  <si>
    <t>Scenario 2:  Jane retires at age 62, John at age 66.</t>
    <phoneticPr fontId="8" type="noConversion"/>
  </si>
  <si>
    <t>Travel/Vacation</t>
  </si>
  <si>
    <t>Regular savings account</t>
  </si>
  <si>
    <t>Insurance</t>
  </si>
  <si>
    <t>Mortgage; will probably be paid off sometime during retirement.</t>
    <phoneticPr fontId="2" type="noConversion"/>
  </si>
  <si>
    <t>Credit cards</t>
  </si>
  <si>
    <t>Other:</t>
  </si>
  <si>
    <t>Car 2: Chevy pickup</t>
    <phoneticPr fontId="2" type="noConversion"/>
  </si>
  <si>
    <t>Car 1: Lexus</t>
    <phoneticPr fontId="2" type="noConversion"/>
  </si>
  <si>
    <t>Home: 123 Any Street</t>
    <phoneticPr fontId="2" type="noConversion"/>
  </si>
  <si>
    <t>Checking account</t>
    <phoneticPr fontId="2" type="noConversion"/>
  </si>
  <si>
    <t>Charity</t>
  </si>
  <si>
    <t>Clothing</t>
  </si>
  <si>
    <t>Other</t>
  </si>
  <si>
    <t>Improvements</t>
  </si>
  <si>
    <t>Maintenance/Repair</t>
  </si>
  <si>
    <t xml:space="preserve">                    Assets                  </t>
  </si>
  <si>
    <t xml:space="preserve">          Liabilities        </t>
  </si>
  <si>
    <t>Page 4</t>
    <phoneticPr fontId="2" type="noConversion"/>
  </si>
  <si>
    <t>ETF Securities</t>
    <phoneticPr fontId="2" type="noConversion"/>
  </si>
  <si>
    <t>John's salary</t>
    <phoneticPr fontId="2" type="noConversion"/>
  </si>
  <si>
    <t>Jane's salary</t>
    <phoneticPr fontId="2" type="noConversion"/>
  </si>
  <si>
    <t>Other</t>
    <phoneticPr fontId="2" type="noConversion"/>
  </si>
  <si>
    <t>Other</t>
    <phoneticPr fontId="2" type="noConversion"/>
  </si>
  <si>
    <t>Property Tax</t>
    <phoneticPr fontId="2" type="noConversion"/>
  </si>
  <si>
    <t>Other</t>
    <phoneticPr fontId="2" type="noConversion"/>
  </si>
  <si>
    <t>Skiing</t>
    <phoneticPr fontId="2" type="noConversion"/>
  </si>
  <si>
    <t>Hobbies</t>
    <phoneticPr fontId="2" type="noConversion"/>
  </si>
  <si>
    <t>Football tickets</t>
    <phoneticPr fontId="2" type="noConversion"/>
  </si>
  <si>
    <t>Subscriptions</t>
    <phoneticPr fontId="2" type="noConversion"/>
  </si>
  <si>
    <t>Gifts</t>
    <phoneticPr fontId="2" type="noConversion"/>
  </si>
  <si>
    <t>Other</t>
    <phoneticPr fontId="2" type="noConversion"/>
  </si>
  <si>
    <r>
      <t xml:space="preserve">     </t>
    </r>
    <r>
      <rPr>
        <u/>
        <sz val="10"/>
        <color indexed="8"/>
        <rFont val="Verdana"/>
      </rPr>
      <t>Housing (123 Any Street)</t>
    </r>
    <phoneticPr fontId="2" type="noConversion"/>
  </si>
  <si>
    <t>House cleaners</t>
  </si>
  <si>
    <t>Gas/Electricity</t>
  </si>
  <si>
    <t xml:space="preserve"> &gt;&gt;&gt;&gt;&gt;</t>
  </si>
  <si>
    <t>Medical/Dental</t>
  </si>
  <si>
    <t>Federal Income Taxes</t>
  </si>
  <si>
    <t>State Income Taxes</t>
  </si>
  <si>
    <r>
      <t xml:space="preserve">   </t>
    </r>
    <r>
      <rPr>
        <u/>
        <sz val="10"/>
        <color indexed="8"/>
        <rFont val="Verdana"/>
      </rPr>
      <t>Utilities</t>
    </r>
  </si>
  <si>
    <r>
      <t xml:space="preserve">   </t>
    </r>
    <r>
      <rPr>
        <u/>
        <sz val="10"/>
        <color indexed="8"/>
        <rFont val="Verdana"/>
      </rPr>
      <t>Insurance</t>
    </r>
  </si>
  <si>
    <r>
      <t xml:space="preserve">   </t>
    </r>
    <r>
      <rPr>
        <u/>
        <sz val="10"/>
        <color indexed="8"/>
        <rFont val="Verdana"/>
      </rPr>
      <t>Medical Expenses</t>
    </r>
  </si>
  <si>
    <r>
      <t xml:space="preserve">   </t>
    </r>
    <r>
      <rPr>
        <u/>
        <sz val="10"/>
        <color indexed="8"/>
        <rFont val="Verdana"/>
      </rPr>
      <t>Income Taxes</t>
    </r>
  </si>
  <si>
    <r>
      <t xml:space="preserve">   </t>
    </r>
    <r>
      <rPr>
        <u/>
        <sz val="10"/>
        <color indexed="8"/>
        <rFont val="Verdana"/>
      </rPr>
      <t>Personal Items</t>
    </r>
  </si>
  <si>
    <t>Recurring Expenses for Future Years</t>
    <phoneticPr fontId="2" type="noConversion"/>
  </si>
  <si>
    <t>Investment income</t>
  </si>
  <si>
    <t>Total Income ………………………………………………………………………….</t>
  </si>
  <si>
    <t>Expenses</t>
  </si>
  <si>
    <t>Homeowners Insurance</t>
  </si>
  <si>
    <t>Net Worth for Personal Use Assets …………………………………</t>
  </si>
  <si>
    <t>Investment Assets</t>
  </si>
  <si>
    <t>John and Jane's Trust</t>
    <phoneticPr fontId="2" type="noConversion"/>
  </si>
  <si>
    <t>Net Worth including Personal Assets ………………………………</t>
    <phoneticPr fontId="2" type="noConversion"/>
  </si>
  <si>
    <t>Morgan Stanley</t>
    <phoneticPr fontId="2" type="noConversion"/>
  </si>
  <si>
    <t>John and Jane's Credit Union</t>
    <phoneticPr fontId="2" type="noConversion"/>
  </si>
  <si>
    <t>Includes everything except the non-recurring ecpenses.</t>
    <phoneticPr fontId="2" type="noConversion"/>
  </si>
  <si>
    <t>Doctors/Dentists</t>
  </si>
  <si>
    <t>Maintenance</t>
  </si>
  <si>
    <t>Eye care</t>
  </si>
  <si>
    <t>Gasoline</t>
  </si>
  <si>
    <t>Furniture, etc.</t>
  </si>
  <si>
    <t xml:space="preserve"> Major Travel</t>
    <phoneticPr fontId="2" type="noConversion"/>
  </si>
  <si>
    <t>Investments; Payments to IRAs and 401(k) plans stop at retirement.</t>
    <phoneticPr fontId="2" type="noConversion"/>
  </si>
  <si>
    <t>Vacations and hobbies; May spend much more in early retirement.</t>
    <phoneticPr fontId="2" type="noConversion"/>
  </si>
  <si>
    <t>Home, furnishings, cars, etc.</t>
    <phoneticPr fontId="2" type="noConversion"/>
  </si>
  <si>
    <t>Mortgage, car loans, etc.</t>
    <phoneticPr fontId="2" type="noConversion"/>
  </si>
  <si>
    <t>equals Personal Net Worth</t>
    <phoneticPr fontId="2" type="noConversion"/>
  </si>
  <si>
    <t>Investment assets</t>
    <phoneticPr fontId="2" type="noConversion"/>
  </si>
  <si>
    <t>Personal assets</t>
    <phoneticPr fontId="2" type="noConversion"/>
  </si>
  <si>
    <t>Exclude from the retirement withdrawal plans.</t>
    <phoneticPr fontId="2" type="noConversion"/>
  </si>
  <si>
    <t>Would like to retire, but willing to wait to age 66 for Social Security benefits.</t>
    <phoneticPr fontId="2" type="noConversion"/>
  </si>
  <si>
    <t>Enjoys his work but would like more time for golf and skiing.</t>
    <phoneticPr fontId="2" type="noConversion"/>
  </si>
  <si>
    <t>This is used as the initial portfolio balance for the Master Spreadsheet.</t>
    <phoneticPr fontId="2" type="noConversion"/>
  </si>
  <si>
    <t>Salary, pension, Social Security benefits, etc.</t>
    <phoneticPr fontId="2" type="noConversion"/>
  </si>
  <si>
    <t>Investment income</t>
    <phoneticPr fontId="2" type="noConversion"/>
  </si>
  <si>
    <t>Income</t>
    <phoneticPr fontId="2" type="noConversion"/>
  </si>
  <si>
    <t>Expenses</t>
    <phoneticPr fontId="2" type="noConversion"/>
  </si>
  <si>
    <t>Housing, Mortgage, Utiilities, Insurance</t>
    <phoneticPr fontId="2" type="noConversion"/>
  </si>
  <si>
    <t>Food and Clothing, Vacation</t>
    <phoneticPr fontId="2" type="noConversion"/>
  </si>
  <si>
    <t>Taxes, Investments, Transportation, etc., etc.</t>
    <phoneticPr fontId="2" type="noConversion"/>
  </si>
  <si>
    <t>John and Jane are each age 60</t>
    <phoneticPr fontId="2" type="noConversion"/>
  </si>
  <si>
    <t>They own their own home</t>
    <phoneticPr fontId="2" type="noConversion"/>
  </si>
  <si>
    <t>Current value = $1M</t>
    <phoneticPr fontId="2" type="noConversion"/>
  </si>
  <si>
    <t>Investment net worth = $1.7M</t>
    <phoneticPr fontId="2" type="noConversion"/>
  </si>
  <si>
    <t>John earns $120K pa</t>
    <phoneticPr fontId="2" type="noConversion"/>
  </si>
  <si>
    <t>Jane earns $90K pa</t>
    <phoneticPr fontId="2" type="noConversion"/>
  </si>
  <si>
    <t>Balance Sheet</t>
    <phoneticPr fontId="2" type="noConversion"/>
  </si>
  <si>
    <t>Taxable accounts</t>
    <phoneticPr fontId="2" type="noConversion"/>
  </si>
  <si>
    <t>Tax deferred accounts; IRAs, 401(k)s, etc.</t>
    <phoneticPr fontId="2" type="noConversion"/>
  </si>
  <si>
    <t>Tax free accounts: Roth IRAs</t>
    <phoneticPr fontId="2" type="noConversion"/>
  </si>
  <si>
    <t>Margin loans, etc.</t>
    <phoneticPr fontId="2" type="noConversion"/>
  </si>
  <si>
    <t>equals Investment Net Worth</t>
    <phoneticPr fontId="2" type="noConversion"/>
  </si>
  <si>
    <t>Scenario 3:  John and Jane both retire at age 66.</t>
    <phoneticPr fontId="8" type="noConversion"/>
  </si>
  <si>
    <t>less Liabilities</t>
    <phoneticPr fontId="2" type="noConversion"/>
  </si>
  <si>
    <t>Annual Income and Expenses</t>
    <phoneticPr fontId="2" type="noConversion"/>
  </si>
  <si>
    <t>Needs more work if UAF &gt; 5% !!!</t>
    <phoneticPr fontId="2" type="noConversion"/>
  </si>
  <si>
    <t>Water/Sewer</t>
  </si>
  <si>
    <t>Tel/Cable/Internet</t>
  </si>
  <si>
    <t>Garbage</t>
  </si>
  <si>
    <t>Recreation/Entertainment</t>
  </si>
  <si>
    <t>Scenario 4:  Jane retires at age 66 and John at age 70.</t>
    <phoneticPr fontId="8" type="noConversion"/>
  </si>
  <si>
    <t>AAII/FP_SIG/1812DoeRetPlan.xlsx  12/2/19</t>
    <phoneticPr fontId="2" type="noConversion"/>
  </si>
  <si>
    <t>AAII/FP_SIG/1812DoeRetPlan.xlsx  12/2/19</t>
    <phoneticPr fontId="2" type="noConversion"/>
  </si>
  <si>
    <t>Income taxes; Tax bracket may change drastically at retirement.</t>
    <phoneticPr fontId="2" type="noConversion"/>
  </si>
  <si>
    <t>File a restricted claim for spousal benefits only, etc.</t>
    <phoneticPr fontId="2" type="noConversion"/>
  </si>
  <si>
    <t xml:space="preserve"> Mortgage paid off</t>
    <phoneticPr fontId="2" type="noConversion"/>
  </si>
  <si>
    <t>Health care, Long term care; May spend much more in later years.</t>
    <phoneticPr fontId="2" type="noConversion"/>
  </si>
  <si>
    <r>
      <t>Scenario 2</t>
    </r>
    <r>
      <rPr>
        <sz val="10"/>
        <rFont val="Verdana"/>
      </rPr>
      <t>: Jane retires at age 62, John continues working to full retirement age of 66.</t>
    </r>
    <phoneticPr fontId="2" type="noConversion"/>
  </si>
  <si>
    <t>Other scenarios to possibly consider:</t>
    <phoneticPr fontId="2" type="noConversion"/>
  </si>
  <si>
    <t>This is probably acceptable for now.  The portfolio lasts until age 97.</t>
    <phoneticPr fontId="2" type="noConversion"/>
  </si>
  <si>
    <t>As Jane approaches her retirement age she may consider working an extra year.</t>
    <phoneticPr fontId="2" type="noConversion"/>
  </si>
  <si>
    <r>
      <t>Scenario 5:</t>
    </r>
    <r>
      <rPr>
        <sz val="10"/>
        <rFont val="Verdana"/>
      </rPr>
      <t xml:space="preserve"> John and Jane both work to age 70</t>
    </r>
    <phoneticPr fontId="2" type="noConversion"/>
  </si>
  <si>
    <t>This may be overkill: the portfolio lasts beyond age 100.</t>
    <phoneticPr fontId="2" type="noConversion"/>
  </si>
  <si>
    <t>Various Social Security claiming strategies</t>
    <phoneticPr fontId="2" type="noConversion"/>
  </si>
  <si>
    <t>Different travel / vacation plans</t>
    <phoneticPr fontId="2" type="noConversion"/>
  </si>
  <si>
    <t>Benefits of Long-Term Care insurance</t>
    <phoneticPr fontId="2" type="noConversion"/>
  </si>
  <si>
    <t>Sensitivity of results to portfolio return; Try 5% pa and 7% pa as well as assumed 6% pa.</t>
    <phoneticPr fontId="2" type="noConversion"/>
  </si>
  <si>
    <t>Sensitivity of results to inflation; Try 2% pa and 4% pa as well as assumed 3% pa.</t>
    <phoneticPr fontId="2" type="noConversion"/>
  </si>
  <si>
    <t>etc. etc.</t>
    <phoneticPr fontId="2" type="noConversion"/>
  </si>
  <si>
    <t>John and Jane hope to travel extensively for a few years after they both retire.</t>
    <phoneticPr fontId="2" type="noConversion"/>
  </si>
  <si>
    <t>Both are in good health and have family histories of longevity.</t>
    <phoneticPr fontId="2" type="noConversion"/>
  </si>
  <si>
    <t>Master Spreadsheet for Various Scenarios</t>
    <phoneticPr fontId="2" type="noConversion"/>
  </si>
  <si>
    <t>The following scenarios are modeled here.</t>
    <phoneticPr fontId="2" type="noConversion"/>
  </si>
  <si>
    <r>
      <t>Scenario 1</t>
    </r>
    <r>
      <rPr>
        <sz val="10"/>
        <rFont val="Verdana"/>
      </rPr>
      <t>: John and Jane both take early retirement at age 62</t>
    </r>
    <phoneticPr fontId="2" type="noConversion"/>
  </si>
  <si>
    <t>This just doesn't work.  Portfolio is exhausted at age 80.</t>
    <phoneticPr fontId="2" type="noConversion"/>
  </si>
  <si>
    <t>This is better but still not satisfactory.  The portfolio lasts to age 86.</t>
    <phoneticPr fontId="2" type="noConversion"/>
  </si>
  <si>
    <t>Inflator:</t>
    <phoneticPr fontId="2" type="noConversion"/>
  </si>
  <si>
    <t xml:space="preserve">  Age  </t>
    <phoneticPr fontId="8" type="noConversion"/>
  </si>
  <si>
    <t>This is getting close; the portfolio is not exhausted until they reach age 91.</t>
    <phoneticPr fontId="2" type="noConversion"/>
  </si>
  <si>
    <r>
      <t>Scenario 4</t>
    </r>
    <r>
      <rPr>
        <sz val="10"/>
        <rFont val="Verdana"/>
      </rPr>
      <t>: Jane retires at age 66 and John retires at age 70</t>
    </r>
    <phoneticPr fontId="2" type="noConversion"/>
  </si>
</sst>
</file>

<file path=xl/styles.xml><?xml version="1.0" encoding="utf-8"?>
<styleSheet xmlns="http://schemas.openxmlformats.org/spreadsheetml/2006/main">
  <numFmts count="9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70" formatCode="&quot;$&quot;#,##0"/>
    <numFmt numFmtId="171" formatCode="0.0%"/>
    <numFmt numFmtId="172" formatCode="0%"/>
  </numFmts>
  <fonts count="27">
    <font>
      <sz val="10"/>
      <name val="Verdana"/>
    </font>
    <font>
      <b/>
      <sz val="10"/>
      <name val="Verdana"/>
    </font>
    <font>
      <sz val="8"/>
      <name val="Verdana"/>
    </font>
    <font>
      <sz val="10"/>
      <color indexed="8"/>
      <name val="Verdana"/>
    </font>
    <font>
      <b/>
      <sz val="10"/>
      <color indexed="10"/>
      <name val="Verdana"/>
    </font>
    <font>
      <u/>
      <sz val="10"/>
      <color indexed="61"/>
      <name val="Verdana"/>
    </font>
    <font>
      <sz val="8"/>
      <color indexed="8"/>
      <name val="Verdana"/>
    </font>
    <font>
      <b/>
      <sz val="16"/>
      <name val="Arial"/>
      <family val="2"/>
    </font>
    <font>
      <sz val="10"/>
      <name val="Arial"/>
    </font>
    <font>
      <b/>
      <sz val="12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u/>
      <sz val="10"/>
      <color indexed="8"/>
      <name val="Verdana"/>
    </font>
    <font>
      <sz val="9"/>
      <color indexed="8"/>
      <name val="Verdana"/>
    </font>
    <font>
      <b/>
      <sz val="10"/>
      <color indexed="8"/>
      <name val="Verdana"/>
    </font>
    <font>
      <b/>
      <u/>
      <sz val="12"/>
      <color indexed="8"/>
      <name val="Verdana"/>
    </font>
    <font>
      <b/>
      <u/>
      <sz val="10"/>
      <color indexed="8"/>
      <name val="Verdana"/>
    </font>
    <font>
      <sz val="10"/>
      <color indexed="8"/>
      <name val="Arial"/>
    </font>
    <font>
      <b/>
      <sz val="12"/>
      <color indexed="8"/>
      <name val="Verdana"/>
    </font>
    <font>
      <sz val="10"/>
      <color indexed="61"/>
      <name val="Verdana"/>
    </font>
    <font>
      <u/>
      <sz val="10"/>
      <color indexed="8"/>
      <name val="Arial"/>
      <family val="2"/>
    </font>
    <font>
      <b/>
      <sz val="16"/>
      <color indexed="8"/>
      <name val="Arial"/>
      <family val="2"/>
    </font>
    <font>
      <b/>
      <u/>
      <sz val="12"/>
      <name val="Verdana"/>
    </font>
    <font>
      <b/>
      <sz val="10"/>
      <name val="Arial"/>
    </font>
    <font>
      <b/>
      <sz val="10"/>
      <color indexed="8"/>
      <name val="Arial"/>
    </font>
    <font>
      <b/>
      <u/>
      <sz val="16"/>
      <name val="Verdana"/>
    </font>
    <font>
      <sz val="10"/>
      <color indexed="14"/>
      <name val="Verdana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40">
    <xf numFmtId="0" fontId="0" fillId="0" borderId="0" xfId="0"/>
    <xf numFmtId="170" fontId="3" fillId="0" borderId="0" xfId="0" applyNumberFormat="1" applyFont="1" applyAlignment="1">
      <alignment horizontal="right"/>
    </xf>
    <xf numFmtId="170" fontId="0" fillId="0" borderId="0" xfId="0" applyNumberFormat="1"/>
    <xf numFmtId="0" fontId="6" fillId="0" borderId="0" xfId="0" applyFont="1"/>
    <xf numFmtId="0" fontId="9" fillId="0" borderId="0" xfId="0" applyFont="1" applyAlignment="1">
      <alignment horizontal="center"/>
    </xf>
    <xf numFmtId="170" fontId="10" fillId="0" borderId="0" xfId="0" applyNumberFormat="1" applyFont="1"/>
    <xf numFmtId="0" fontId="11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170" fontId="11" fillId="0" borderId="0" xfId="0" applyNumberFormat="1" applyFont="1" applyAlignment="1">
      <alignment horizontal="center"/>
    </xf>
    <xf numFmtId="170" fontId="11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170" fontId="8" fillId="0" borderId="0" xfId="0" applyNumberFormat="1" applyFont="1" applyAlignment="1">
      <alignment horizontal="right"/>
    </xf>
    <xf numFmtId="170" fontId="8" fillId="0" borderId="0" xfId="0" applyNumberFormat="1" applyFont="1" applyBorder="1"/>
    <xf numFmtId="0" fontId="8" fillId="0" borderId="0" xfId="0" applyFont="1" applyBorder="1" applyAlignment="1">
      <alignment horizontal="center"/>
    </xf>
    <xf numFmtId="170" fontId="11" fillId="0" borderId="2" xfId="0" applyNumberFormat="1" applyFont="1" applyBorder="1" applyAlignment="1">
      <alignment horizontal="right"/>
    </xf>
    <xf numFmtId="170" fontId="8" fillId="0" borderId="2" xfId="0" applyNumberFormat="1" applyFont="1" applyBorder="1" applyAlignment="1">
      <alignment horizontal="right"/>
    </xf>
    <xf numFmtId="170" fontId="11" fillId="0" borderId="2" xfId="0" applyNumberFormat="1" applyFont="1" applyBorder="1" applyAlignment="1">
      <alignment horizontal="center"/>
    </xf>
    <xf numFmtId="0" fontId="4" fillId="0" borderId="0" xfId="0" applyFont="1"/>
    <xf numFmtId="0" fontId="0" fillId="0" borderId="0" xfId="0"/>
    <xf numFmtId="170" fontId="12" fillId="0" borderId="0" xfId="0" applyNumberFormat="1" applyFont="1" applyAlignment="1">
      <alignment horizontal="right"/>
    </xf>
    <xf numFmtId="170" fontId="3" fillId="0" borderId="0" xfId="0" applyNumberFormat="1" applyFont="1"/>
    <xf numFmtId="0" fontId="0" fillId="0" borderId="0" xfId="0"/>
    <xf numFmtId="0" fontId="0" fillId="0" borderId="0" xfId="0"/>
    <xf numFmtId="0" fontId="0" fillId="0" borderId="0" xfId="0"/>
    <xf numFmtId="0" fontId="14" fillId="0" borderId="0" xfId="0" applyFont="1"/>
    <xf numFmtId="0" fontId="3" fillId="0" borderId="0" xfId="0" applyFont="1"/>
    <xf numFmtId="0" fontId="12" fillId="0" borderId="0" xfId="0" applyFont="1"/>
    <xf numFmtId="0" fontId="16" fillId="0" borderId="0" xfId="0" applyFont="1"/>
    <xf numFmtId="170" fontId="14" fillId="0" borderId="0" xfId="0" applyNumberFormat="1" applyFont="1"/>
    <xf numFmtId="170" fontId="3" fillId="0" borderId="2" xfId="0" applyNumberFormat="1" applyFont="1" applyBorder="1"/>
    <xf numFmtId="170" fontId="12" fillId="0" borderId="0" xfId="0" applyNumberFormat="1" applyFont="1"/>
    <xf numFmtId="0" fontId="3" fillId="0" borderId="0" xfId="0" applyFont="1" applyAlignment="1">
      <alignment horizontal="right"/>
    </xf>
    <xf numFmtId="9" fontId="3" fillId="0" borderId="2" xfId="0" applyNumberFormat="1" applyFont="1" applyBorder="1" applyAlignment="1">
      <alignment horizontal="center"/>
    </xf>
    <xf numFmtId="0" fontId="3" fillId="0" borderId="3" xfId="0" applyFont="1" applyBorder="1"/>
    <xf numFmtId="170" fontId="3" fillId="0" borderId="3" xfId="0" applyNumberFormat="1" applyFont="1" applyBorder="1"/>
    <xf numFmtId="171" fontId="3" fillId="0" borderId="0" xfId="0" applyNumberFormat="1" applyFont="1" applyAlignment="1">
      <alignment horizontal="center"/>
    </xf>
    <xf numFmtId="170" fontId="14" fillId="0" borderId="0" xfId="0" applyNumberFormat="1" applyFont="1" applyAlignment="1">
      <alignment horizontal="right"/>
    </xf>
    <xf numFmtId="0" fontId="14" fillId="0" borderId="0" xfId="0" applyFont="1" applyAlignment="1">
      <alignment horizontal="center"/>
    </xf>
    <xf numFmtId="9" fontId="3" fillId="0" borderId="2" xfId="0" applyNumberFormat="1" applyFont="1" applyBorder="1" applyAlignment="1">
      <alignment horizontal="center"/>
    </xf>
    <xf numFmtId="170" fontId="17" fillId="0" borderId="0" xfId="0" applyNumberFormat="1" applyFont="1" applyAlignment="1">
      <alignment horizontal="right"/>
    </xf>
    <xf numFmtId="170" fontId="3" fillId="0" borderId="0" xfId="0" applyNumberFormat="1" applyFont="1"/>
    <xf numFmtId="170" fontId="3" fillId="0" borderId="0" xfId="0" applyNumberFormat="1" applyFont="1" applyAlignment="1">
      <alignment horizontal="right"/>
    </xf>
    <xf numFmtId="170" fontId="12" fillId="0" borderId="0" xfId="0" applyNumberFormat="1" applyFont="1" applyAlignment="1">
      <alignment horizontal="right"/>
    </xf>
    <xf numFmtId="170" fontId="3" fillId="0" borderId="1" xfId="0" applyNumberFormat="1" applyFont="1" applyBorder="1"/>
    <xf numFmtId="170" fontId="14" fillId="0" borderId="0" xfId="0" applyNumberFormat="1" applyFont="1"/>
    <xf numFmtId="170" fontId="12" fillId="0" borderId="0" xfId="0" applyNumberFormat="1" applyFont="1"/>
    <xf numFmtId="170" fontId="6" fillId="0" borderId="0" xfId="0" applyNumberFormat="1" applyFont="1" applyAlignment="1">
      <alignment horizontal="right"/>
    </xf>
    <xf numFmtId="0" fontId="13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3" xfId="0" applyBorder="1"/>
    <xf numFmtId="0" fontId="0" fillId="0" borderId="0" xfId="0"/>
    <xf numFmtId="0" fontId="13" fillId="0" borderId="0" xfId="0" applyFont="1"/>
    <xf numFmtId="170" fontId="3" fillId="0" borderId="0" xfId="0" applyNumberFormat="1" applyFont="1" applyBorder="1"/>
    <xf numFmtId="0" fontId="3" fillId="0" borderId="0" xfId="0" applyFont="1"/>
    <xf numFmtId="170" fontId="12" fillId="0" borderId="3" xfId="0" applyNumberFormat="1" applyFont="1" applyBorder="1"/>
    <xf numFmtId="170" fontId="12" fillId="0" borderId="0" xfId="0" applyNumberFormat="1" applyFont="1"/>
    <xf numFmtId="170" fontId="3" fillId="0" borderId="0" xfId="0" applyNumberFormat="1" applyFont="1"/>
    <xf numFmtId="170" fontId="12" fillId="0" borderId="0" xfId="0" applyNumberFormat="1" applyFont="1" applyBorder="1"/>
    <xf numFmtId="9" fontId="13" fillId="0" borderId="0" xfId="0" applyNumberFormat="1" applyFont="1" applyAlignment="1">
      <alignment horizontal="right"/>
    </xf>
    <xf numFmtId="9" fontId="13" fillId="0" borderId="0" xfId="0" applyNumberFormat="1" applyFont="1" applyBorder="1" applyAlignment="1">
      <alignment horizontal="center"/>
    </xf>
    <xf numFmtId="9" fontId="3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70" fontId="19" fillId="0" borderId="0" xfId="0" applyNumberFormat="1" applyFont="1"/>
    <xf numFmtId="0" fontId="3" fillId="0" borderId="0" xfId="0" applyFont="1"/>
    <xf numFmtId="0" fontId="16" fillId="0" borderId="0" xfId="0" applyFont="1"/>
    <xf numFmtId="170" fontId="12" fillId="0" borderId="0" xfId="0" applyNumberFormat="1" applyFont="1"/>
    <xf numFmtId="170" fontId="3" fillId="0" borderId="0" xfId="0" applyNumberFormat="1" applyFont="1"/>
    <xf numFmtId="170" fontId="14" fillId="0" borderId="0" xfId="0" applyNumberFormat="1" applyFont="1"/>
    <xf numFmtId="170" fontId="8" fillId="0" borderId="0" xfId="0" applyNumberFormat="1" applyFont="1" applyBorder="1" applyAlignment="1">
      <alignment horizontal="right"/>
    </xf>
    <xf numFmtId="170" fontId="20" fillId="0" borderId="0" xfId="0" applyNumberFormat="1" applyFont="1" applyAlignment="1">
      <alignment horizontal="right"/>
    </xf>
    <xf numFmtId="0" fontId="16" fillId="0" borderId="0" xfId="0" applyFont="1"/>
    <xf numFmtId="0" fontId="3" fillId="0" borderId="0" xfId="0" applyFont="1"/>
    <xf numFmtId="0" fontId="14" fillId="0" borderId="0" xfId="0" applyFont="1"/>
    <xf numFmtId="0" fontId="12" fillId="0" borderId="0" xfId="0" applyFont="1"/>
    <xf numFmtId="170" fontId="12" fillId="0" borderId="3" xfId="0" applyNumberFormat="1" applyFont="1" applyBorder="1"/>
    <xf numFmtId="170" fontId="14" fillId="0" borderId="0" xfId="0" applyNumberFormat="1" applyFont="1"/>
    <xf numFmtId="0" fontId="19" fillId="0" borderId="0" xfId="0" applyFont="1"/>
    <xf numFmtId="170" fontId="12" fillId="0" borderId="0" xfId="0" applyNumberFormat="1" applyFont="1" applyBorder="1"/>
    <xf numFmtId="170" fontId="3" fillId="0" borderId="0" xfId="0" applyNumberFormat="1" applyFont="1"/>
    <xf numFmtId="170" fontId="12" fillId="0" borderId="0" xfId="0" applyNumberFormat="1" applyFont="1"/>
    <xf numFmtId="9" fontId="6" fillId="0" borderId="0" xfId="0" applyNumberFormat="1" applyFont="1" applyBorder="1" applyAlignment="1">
      <alignment horizontal="center"/>
    </xf>
    <xf numFmtId="170" fontId="12" fillId="0" borderId="0" xfId="0" applyNumberFormat="1" applyFont="1"/>
    <xf numFmtId="170" fontId="3" fillId="0" borderId="0" xfId="0" applyNumberFormat="1" applyFont="1"/>
    <xf numFmtId="170" fontId="5" fillId="0" borderId="0" xfId="0" applyNumberFormat="1" applyFont="1"/>
    <xf numFmtId="170" fontId="8" fillId="0" borderId="0" xfId="0" applyNumberFormat="1" applyFont="1" applyAlignment="1">
      <alignment horizontal="left"/>
    </xf>
    <xf numFmtId="0" fontId="8" fillId="0" borderId="0" xfId="0" applyFont="1"/>
    <xf numFmtId="0" fontId="3" fillId="0" borderId="0" xfId="0" applyFont="1"/>
    <xf numFmtId="0" fontId="8" fillId="0" borderId="0" xfId="0" applyFont="1" applyAlignment="1">
      <alignment horizontal="right"/>
    </xf>
    <xf numFmtId="2" fontId="8" fillId="0" borderId="0" xfId="0" applyNumberFormat="1" applyFont="1" applyAlignment="1">
      <alignment horizontal="right"/>
    </xf>
    <xf numFmtId="0" fontId="1" fillId="0" borderId="0" xfId="0" applyFont="1"/>
    <xf numFmtId="0" fontId="22" fillId="0" borderId="0" xfId="0" applyFont="1"/>
    <xf numFmtId="172" fontId="8" fillId="0" borderId="0" xfId="0" applyNumberFormat="1" applyFont="1" applyAlignment="1">
      <alignment horizontal="right"/>
    </xf>
    <xf numFmtId="9" fontId="8" fillId="0" borderId="0" xfId="0" applyNumberFormat="1" applyFont="1"/>
    <xf numFmtId="172" fontId="8" fillId="0" borderId="0" xfId="0" applyNumberFormat="1" applyFont="1"/>
    <xf numFmtId="2" fontId="10" fillId="0" borderId="0" xfId="0" applyNumberFormat="1" applyFont="1" applyAlignment="1">
      <alignment horizontal="center"/>
    </xf>
    <xf numFmtId="2" fontId="8" fillId="0" borderId="0" xfId="0" applyNumberFormat="1" applyFont="1"/>
    <xf numFmtId="2" fontId="17" fillId="0" borderId="0" xfId="0" applyNumberFormat="1" applyFont="1"/>
    <xf numFmtId="0" fontId="8" fillId="0" borderId="2" xfId="0" applyFont="1" applyBorder="1" applyAlignment="1">
      <alignment horizontal="center"/>
    </xf>
    <xf numFmtId="170" fontId="8" fillId="0" borderId="2" xfId="0" applyNumberFormat="1" applyFont="1" applyBorder="1"/>
    <xf numFmtId="170" fontId="8" fillId="0" borderId="0" xfId="0" applyNumberFormat="1" applyFont="1"/>
    <xf numFmtId="170" fontId="17" fillId="0" borderId="0" xfId="0" applyNumberFormat="1" applyFont="1"/>
    <xf numFmtId="0" fontId="8" fillId="0" borderId="0" xfId="0" applyFont="1" applyAlignment="1">
      <alignment horizontal="left"/>
    </xf>
    <xf numFmtId="170" fontId="23" fillId="0" borderId="0" xfId="0" applyNumberFormat="1" applyFont="1" applyAlignment="1">
      <alignment horizontal="right"/>
    </xf>
    <xf numFmtId="2" fontId="10" fillId="0" borderId="0" xfId="0" applyNumberFormat="1" applyFont="1"/>
    <xf numFmtId="9" fontId="10" fillId="0" borderId="0" xfId="0" applyNumberFormat="1" applyFont="1"/>
    <xf numFmtId="170" fontId="24" fillId="0" borderId="0" xfId="0" applyNumberFormat="1" applyFont="1" applyAlignment="1">
      <alignment horizontal="right"/>
    </xf>
    <xf numFmtId="170" fontId="12" fillId="0" borderId="0" xfId="0" applyNumberFormat="1" applyFont="1"/>
    <xf numFmtId="170" fontId="3" fillId="0" borderId="0" xfId="0" applyNumberFormat="1" applyFont="1"/>
    <xf numFmtId="0" fontId="26" fillId="0" borderId="0" xfId="0" applyFont="1" applyBorder="1"/>
    <xf numFmtId="0" fontId="0" fillId="0" borderId="0" xfId="0" applyAlignment="1">
      <alignment horizontal="left"/>
    </xf>
    <xf numFmtId="0" fontId="8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3" fillId="0" borderId="0" xfId="0" applyFont="1"/>
    <xf numFmtId="0" fontId="15" fillId="0" borderId="0" xfId="0" applyFont="1" applyAlignment="1">
      <alignment horizontal="center"/>
    </xf>
    <xf numFmtId="0" fontId="16" fillId="0" borderId="0" xfId="0" applyFont="1"/>
    <xf numFmtId="0" fontId="12" fillId="0" borderId="0" xfId="0" applyFont="1" applyAlignment="1">
      <alignment horizontal="center"/>
    </xf>
    <xf numFmtId="0" fontId="14" fillId="0" borderId="0" xfId="0" applyFont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2" fillId="0" borderId="3" xfId="0" applyFont="1" applyBorder="1"/>
    <xf numFmtId="0" fontId="12" fillId="0" borderId="0" xfId="0" applyFont="1"/>
    <xf numFmtId="170" fontId="12" fillId="0" borderId="3" xfId="0" applyNumberFormat="1" applyFont="1" applyBorder="1"/>
    <xf numFmtId="170" fontId="12" fillId="0" borderId="0" xfId="0" applyNumberFormat="1" applyFont="1"/>
    <xf numFmtId="170" fontId="3" fillId="0" borderId="0" xfId="0" applyNumberFormat="1" applyFont="1"/>
    <xf numFmtId="170" fontId="14" fillId="0" borderId="0" xfId="0" applyNumberFormat="1" applyFont="1"/>
    <xf numFmtId="0" fontId="19" fillId="0" borderId="0" xfId="0" applyFont="1"/>
    <xf numFmtId="0" fontId="2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/>
    <xf numFmtId="0" fontId="3" fillId="0" borderId="0" xfId="0" applyFont="1" applyAlignment="1"/>
    <xf numFmtId="0" fontId="8" fillId="0" borderId="0" xfId="0" applyFont="1" applyAlignment="1"/>
  </cellXfs>
  <cellStyles count="1">
    <cellStyle name="Normal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13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plotArea>
      <c:layout/>
      <c:lineChart>
        <c:grouping val="standard"/>
        <c:ser>
          <c:idx val="0"/>
          <c:order val="0"/>
          <c:tx>
            <c:v>Income</c:v>
          </c:tx>
          <c:spPr>
            <a:ln w="63500" cmpd="sng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numRef>
              <c:f>'Scen 1'!$B$55:$B$95</c:f>
              <c:numCache>
                <c:formatCode>General</c:formatCode>
                <c:ptCount val="41"/>
                <c:pt idx="0">
                  <c:v>60.0</c:v>
                </c:pt>
                <c:pt idx="1">
                  <c:v>61.0</c:v>
                </c:pt>
                <c:pt idx="2">
                  <c:v>62.0</c:v>
                </c:pt>
                <c:pt idx="3">
                  <c:v>63.0</c:v>
                </c:pt>
                <c:pt idx="4">
                  <c:v>64.0</c:v>
                </c:pt>
                <c:pt idx="5">
                  <c:v>65.0</c:v>
                </c:pt>
                <c:pt idx="6">
                  <c:v>66.0</c:v>
                </c:pt>
                <c:pt idx="7">
                  <c:v>67.0</c:v>
                </c:pt>
                <c:pt idx="8">
                  <c:v>68.0</c:v>
                </c:pt>
                <c:pt idx="9">
                  <c:v>69.0</c:v>
                </c:pt>
                <c:pt idx="10">
                  <c:v>70.0</c:v>
                </c:pt>
                <c:pt idx="11">
                  <c:v>71.0</c:v>
                </c:pt>
                <c:pt idx="12">
                  <c:v>72.0</c:v>
                </c:pt>
                <c:pt idx="13">
                  <c:v>73.0</c:v>
                </c:pt>
                <c:pt idx="14">
                  <c:v>74.0</c:v>
                </c:pt>
                <c:pt idx="15">
                  <c:v>75.0</c:v>
                </c:pt>
                <c:pt idx="16">
                  <c:v>76.0</c:v>
                </c:pt>
                <c:pt idx="17">
                  <c:v>77.0</c:v>
                </c:pt>
                <c:pt idx="18">
                  <c:v>78.0</c:v>
                </c:pt>
                <c:pt idx="19">
                  <c:v>79.0</c:v>
                </c:pt>
                <c:pt idx="20">
                  <c:v>80.0</c:v>
                </c:pt>
                <c:pt idx="21">
                  <c:v>81.0</c:v>
                </c:pt>
                <c:pt idx="22">
                  <c:v>82.0</c:v>
                </c:pt>
                <c:pt idx="23">
                  <c:v>83.0</c:v>
                </c:pt>
                <c:pt idx="24">
                  <c:v>84.0</c:v>
                </c:pt>
                <c:pt idx="25">
                  <c:v>85.0</c:v>
                </c:pt>
                <c:pt idx="26">
                  <c:v>86.0</c:v>
                </c:pt>
                <c:pt idx="27">
                  <c:v>87.0</c:v>
                </c:pt>
                <c:pt idx="28">
                  <c:v>88.0</c:v>
                </c:pt>
                <c:pt idx="29">
                  <c:v>89.0</c:v>
                </c:pt>
                <c:pt idx="30">
                  <c:v>90.0</c:v>
                </c:pt>
                <c:pt idx="31">
                  <c:v>91.0</c:v>
                </c:pt>
                <c:pt idx="32">
                  <c:v>92.0</c:v>
                </c:pt>
                <c:pt idx="33">
                  <c:v>93.0</c:v>
                </c:pt>
                <c:pt idx="34">
                  <c:v>94.0</c:v>
                </c:pt>
                <c:pt idx="35">
                  <c:v>95.0</c:v>
                </c:pt>
                <c:pt idx="36">
                  <c:v>96.0</c:v>
                </c:pt>
                <c:pt idx="37">
                  <c:v>97.0</c:v>
                </c:pt>
                <c:pt idx="38">
                  <c:v>98.0</c:v>
                </c:pt>
                <c:pt idx="39">
                  <c:v>99.0</c:v>
                </c:pt>
                <c:pt idx="40">
                  <c:v>100.0</c:v>
                </c:pt>
              </c:numCache>
            </c:numRef>
          </c:cat>
          <c:val>
            <c:numRef>
              <c:f>'Scen 1'!$I$55:$I$95</c:f>
              <c:numCache>
                <c:formatCode>\$#,##0</c:formatCode>
                <c:ptCount val="41"/>
                <c:pt idx="0">
                  <c:v>280000.0</c:v>
                </c:pt>
                <c:pt idx="1">
                  <c:v>318300.0</c:v>
                </c:pt>
                <c:pt idx="2">
                  <c:v>140167.44</c:v>
                </c:pt>
                <c:pt idx="3">
                  <c:v>139239.606192</c:v>
                </c:pt>
                <c:pt idx="4">
                  <c:v>135315.1896617856</c:v>
                </c:pt>
                <c:pt idx="5">
                  <c:v>130937.0855349572</c:v>
                </c:pt>
                <c:pt idx="6">
                  <c:v>126075.9604849032</c:v>
                </c:pt>
                <c:pt idx="7">
                  <c:v>123739.7391499139</c:v>
                </c:pt>
                <c:pt idx="8">
                  <c:v>121090.2853678767</c:v>
                </c:pt>
                <c:pt idx="9">
                  <c:v>118106.8229416126</c:v>
                </c:pt>
                <c:pt idx="10">
                  <c:v>114767.4198403549</c:v>
                </c:pt>
                <c:pt idx="11">
                  <c:v>111048.9286015105</c:v>
                </c:pt>
                <c:pt idx="12">
                  <c:v>106926.923778067</c:v>
                </c:pt>
                <c:pt idx="13">
                  <c:v>102375.6362884266</c:v>
                </c:pt>
                <c:pt idx="14">
                  <c:v>97367.8845185974</c:v>
                </c:pt>
                <c:pt idx="15">
                  <c:v>91875.00201949633</c:v>
                </c:pt>
                <c:pt idx="16">
                  <c:v>85866.7616346002</c:v>
                </c:pt>
                <c:pt idx="17">
                  <c:v>79311.29588530867</c:v>
                </c:pt>
                <c:pt idx="18">
                  <c:v>73988.92561312078</c:v>
                </c:pt>
                <c:pt idx="19">
                  <c:v>68146.44424460587</c:v>
                </c:pt>
                <c:pt idx="20">
                  <c:v>61751.37985542817</c:v>
                </c:pt>
                <c:pt idx="21">
                  <c:v>55235.44067192871</c:v>
                </c:pt>
                <c:pt idx="22">
                  <c:v>56892.50389208657</c:v>
                </c:pt>
                <c:pt idx="23">
                  <c:v>58599.27900884917</c:v>
                </c:pt>
                <c:pt idx="24">
                  <c:v>60357.25737911466</c:v>
                </c:pt>
                <c:pt idx="25">
                  <c:v>62167.9751004881</c:v>
                </c:pt>
                <c:pt idx="26">
                  <c:v>64033.01435350273</c:v>
                </c:pt>
                <c:pt idx="27">
                  <c:v>65954.00478410781</c:v>
                </c:pt>
                <c:pt idx="28">
                  <c:v>67932.62492763105</c:v>
                </c:pt>
                <c:pt idx="29">
                  <c:v>69970.60367545998</c:v>
                </c:pt>
                <c:pt idx="30">
                  <c:v>72069.72178572378</c:v>
                </c:pt>
                <c:pt idx="31">
                  <c:v>74231.81343929551</c:v>
                </c:pt>
                <c:pt idx="32">
                  <c:v>76458.76784247436</c:v>
                </c:pt>
                <c:pt idx="33">
                  <c:v>78752.53087774861</c:v>
                </c:pt>
                <c:pt idx="34">
                  <c:v>81115.10680408106</c:v>
                </c:pt>
                <c:pt idx="35">
                  <c:v>83548.56000820349</c:v>
                </c:pt>
                <c:pt idx="36">
                  <c:v>86055.01680844961</c:v>
                </c:pt>
                <c:pt idx="37">
                  <c:v>88636.6673127031</c:v>
                </c:pt>
                <c:pt idx="38">
                  <c:v>91295.76733208419</c:v>
                </c:pt>
                <c:pt idx="39">
                  <c:v>94034.6403520467</c:v>
                </c:pt>
                <c:pt idx="40">
                  <c:v>96855.6795626081</c:v>
                </c:pt>
              </c:numCache>
            </c:numRef>
          </c:val>
        </c:ser>
        <c:ser>
          <c:idx val="1"/>
          <c:order val="1"/>
          <c:tx>
            <c:v>Expenses</c:v>
          </c:tx>
          <c:spPr>
            <a:ln w="635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'Scen 1'!$B$55:$B$95</c:f>
              <c:numCache>
                <c:formatCode>General</c:formatCode>
                <c:ptCount val="41"/>
                <c:pt idx="0">
                  <c:v>60.0</c:v>
                </c:pt>
                <c:pt idx="1">
                  <c:v>61.0</c:v>
                </c:pt>
                <c:pt idx="2">
                  <c:v>62.0</c:v>
                </c:pt>
                <c:pt idx="3">
                  <c:v>63.0</c:v>
                </c:pt>
                <c:pt idx="4">
                  <c:v>64.0</c:v>
                </c:pt>
                <c:pt idx="5">
                  <c:v>65.0</c:v>
                </c:pt>
                <c:pt idx="6">
                  <c:v>66.0</c:v>
                </c:pt>
                <c:pt idx="7">
                  <c:v>67.0</c:v>
                </c:pt>
                <c:pt idx="8">
                  <c:v>68.0</c:v>
                </c:pt>
                <c:pt idx="9">
                  <c:v>69.0</c:v>
                </c:pt>
                <c:pt idx="10">
                  <c:v>70.0</c:v>
                </c:pt>
                <c:pt idx="11">
                  <c:v>71.0</c:v>
                </c:pt>
                <c:pt idx="12">
                  <c:v>72.0</c:v>
                </c:pt>
                <c:pt idx="13">
                  <c:v>73.0</c:v>
                </c:pt>
                <c:pt idx="14">
                  <c:v>74.0</c:v>
                </c:pt>
                <c:pt idx="15">
                  <c:v>75.0</c:v>
                </c:pt>
                <c:pt idx="16">
                  <c:v>76.0</c:v>
                </c:pt>
                <c:pt idx="17">
                  <c:v>77.0</c:v>
                </c:pt>
                <c:pt idx="18">
                  <c:v>78.0</c:v>
                </c:pt>
                <c:pt idx="19">
                  <c:v>79.0</c:v>
                </c:pt>
                <c:pt idx="20">
                  <c:v>80.0</c:v>
                </c:pt>
                <c:pt idx="21">
                  <c:v>81.0</c:v>
                </c:pt>
                <c:pt idx="22">
                  <c:v>82.0</c:v>
                </c:pt>
                <c:pt idx="23">
                  <c:v>83.0</c:v>
                </c:pt>
                <c:pt idx="24">
                  <c:v>84.0</c:v>
                </c:pt>
                <c:pt idx="25">
                  <c:v>85.0</c:v>
                </c:pt>
                <c:pt idx="26">
                  <c:v>86.0</c:v>
                </c:pt>
                <c:pt idx="27">
                  <c:v>87.0</c:v>
                </c:pt>
                <c:pt idx="28">
                  <c:v>88.0</c:v>
                </c:pt>
                <c:pt idx="29">
                  <c:v>89.0</c:v>
                </c:pt>
                <c:pt idx="30">
                  <c:v>90.0</c:v>
                </c:pt>
                <c:pt idx="31">
                  <c:v>91.0</c:v>
                </c:pt>
                <c:pt idx="32">
                  <c:v>92.0</c:v>
                </c:pt>
                <c:pt idx="33">
                  <c:v>93.0</c:v>
                </c:pt>
                <c:pt idx="34">
                  <c:v>94.0</c:v>
                </c:pt>
                <c:pt idx="35">
                  <c:v>95.0</c:v>
                </c:pt>
                <c:pt idx="36">
                  <c:v>96.0</c:v>
                </c:pt>
                <c:pt idx="37">
                  <c:v>97.0</c:v>
                </c:pt>
                <c:pt idx="38">
                  <c:v>98.0</c:v>
                </c:pt>
                <c:pt idx="39">
                  <c:v>99.0</c:v>
                </c:pt>
                <c:pt idx="40">
                  <c:v>100.0</c:v>
                </c:pt>
              </c:numCache>
            </c:numRef>
          </c:cat>
          <c:val>
            <c:numRef>
              <c:f>'Scen 1'!$N$55:$N$95</c:f>
              <c:numCache>
                <c:formatCode>\$#,##0</c:formatCode>
                <c:ptCount val="41"/>
                <c:pt idx="0">
                  <c:v>205000.0</c:v>
                </c:pt>
                <c:pt idx="1">
                  <c:v>207176.0</c:v>
                </c:pt>
                <c:pt idx="2">
                  <c:v>171381.3368</c:v>
                </c:pt>
                <c:pt idx="3">
                  <c:v>220869.04836224</c:v>
                </c:pt>
                <c:pt idx="4">
                  <c:v>224992.7667755929</c:v>
                </c:pt>
                <c:pt idx="5">
                  <c:v>229166.2866191906</c:v>
                </c:pt>
                <c:pt idx="6">
                  <c:v>182739.7464922237</c:v>
                </c:pt>
                <c:pt idx="7">
                  <c:v>186155.8688540924</c:v>
                </c:pt>
                <c:pt idx="8">
                  <c:v>189620.9828092776</c:v>
                </c:pt>
                <c:pt idx="9">
                  <c:v>193134.0546763498</c:v>
                </c:pt>
                <c:pt idx="10">
                  <c:v>196693.902602949</c:v>
                </c:pt>
                <c:pt idx="11">
                  <c:v>200299.1866375454</c:v>
                </c:pt>
                <c:pt idx="12">
                  <c:v>203948.3982467442</c:v>
                </c:pt>
                <c:pt idx="13">
                  <c:v>207639.8492494904</c:v>
                </c:pt>
                <c:pt idx="14">
                  <c:v>211371.6601381091</c:v>
                </c:pt>
                <c:pt idx="15">
                  <c:v>215141.7477546273</c:v>
                </c:pt>
                <c:pt idx="16">
                  <c:v>218947.8122892603</c:v>
                </c:pt>
                <c:pt idx="17">
                  <c:v>192555.4538999026</c:v>
                </c:pt>
                <c:pt idx="18">
                  <c:v>196637.7415041753</c:v>
                </c:pt>
                <c:pt idx="19">
                  <c:v>200763.2009391807</c:v>
                </c:pt>
                <c:pt idx="20">
                  <c:v>204929.4162697226</c:v>
                </c:pt>
                <c:pt idx="21">
                  <c:v>209236.2330303986</c:v>
                </c:pt>
                <c:pt idx="22">
                  <c:v>215513.3200213106</c:v>
                </c:pt>
                <c:pt idx="23">
                  <c:v>221978.7196219499</c:v>
                </c:pt>
                <c:pt idx="24">
                  <c:v>228638.0812106084</c:v>
                </c:pt>
                <c:pt idx="25">
                  <c:v>235497.2236469266</c:v>
                </c:pt>
                <c:pt idx="26">
                  <c:v>242562.1403563345</c:v>
                </c:pt>
                <c:pt idx="27">
                  <c:v>249839.0045670245</c:v>
                </c:pt>
                <c:pt idx="28">
                  <c:v>257334.1747040352</c:v>
                </c:pt>
                <c:pt idx="29">
                  <c:v>265054.1999451563</c:v>
                </c:pt>
                <c:pt idx="30">
                  <c:v>273005.825943511</c:v>
                </c:pt>
                <c:pt idx="31">
                  <c:v>328839.435215807</c:v>
                </c:pt>
                <c:pt idx="32">
                  <c:v>338704.6182722812</c:v>
                </c:pt>
                <c:pt idx="33">
                  <c:v>348865.7568204496</c:v>
                </c:pt>
                <c:pt idx="34">
                  <c:v>359331.729525063</c:v>
                </c:pt>
                <c:pt idx="35">
                  <c:v>370111.681410815</c:v>
                </c:pt>
                <c:pt idx="36">
                  <c:v>381215.0318531395</c:v>
                </c:pt>
                <c:pt idx="37">
                  <c:v>392651.4828087337</c:v>
                </c:pt>
                <c:pt idx="38">
                  <c:v>404431.0272929957</c:v>
                </c:pt>
                <c:pt idx="39">
                  <c:v>416563.9581117856</c:v>
                </c:pt>
                <c:pt idx="40">
                  <c:v>429060.8768551392</c:v>
                </c:pt>
              </c:numCache>
            </c:numRef>
          </c:val>
        </c:ser>
        <c:ser>
          <c:idx val="2"/>
          <c:order val="2"/>
          <c:tx>
            <c:v>Portfolio</c:v>
          </c:tx>
          <c:spPr>
            <a:ln w="635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'Scen 1'!$B$55:$B$95</c:f>
              <c:numCache>
                <c:formatCode>General</c:formatCode>
                <c:ptCount val="41"/>
                <c:pt idx="0">
                  <c:v>60.0</c:v>
                </c:pt>
                <c:pt idx="1">
                  <c:v>61.0</c:v>
                </c:pt>
                <c:pt idx="2">
                  <c:v>62.0</c:v>
                </c:pt>
                <c:pt idx="3">
                  <c:v>63.0</c:v>
                </c:pt>
                <c:pt idx="4">
                  <c:v>64.0</c:v>
                </c:pt>
                <c:pt idx="5">
                  <c:v>65.0</c:v>
                </c:pt>
                <c:pt idx="6">
                  <c:v>66.0</c:v>
                </c:pt>
                <c:pt idx="7">
                  <c:v>67.0</c:v>
                </c:pt>
                <c:pt idx="8">
                  <c:v>68.0</c:v>
                </c:pt>
                <c:pt idx="9">
                  <c:v>69.0</c:v>
                </c:pt>
                <c:pt idx="10">
                  <c:v>70.0</c:v>
                </c:pt>
                <c:pt idx="11">
                  <c:v>71.0</c:v>
                </c:pt>
                <c:pt idx="12">
                  <c:v>72.0</c:v>
                </c:pt>
                <c:pt idx="13">
                  <c:v>73.0</c:v>
                </c:pt>
                <c:pt idx="14">
                  <c:v>74.0</c:v>
                </c:pt>
                <c:pt idx="15">
                  <c:v>75.0</c:v>
                </c:pt>
                <c:pt idx="16">
                  <c:v>76.0</c:v>
                </c:pt>
                <c:pt idx="17">
                  <c:v>77.0</c:v>
                </c:pt>
                <c:pt idx="18">
                  <c:v>78.0</c:v>
                </c:pt>
                <c:pt idx="19">
                  <c:v>79.0</c:v>
                </c:pt>
                <c:pt idx="20">
                  <c:v>80.0</c:v>
                </c:pt>
                <c:pt idx="21">
                  <c:v>81.0</c:v>
                </c:pt>
                <c:pt idx="22">
                  <c:v>82.0</c:v>
                </c:pt>
                <c:pt idx="23">
                  <c:v>83.0</c:v>
                </c:pt>
                <c:pt idx="24">
                  <c:v>84.0</c:v>
                </c:pt>
                <c:pt idx="25">
                  <c:v>85.0</c:v>
                </c:pt>
                <c:pt idx="26">
                  <c:v>86.0</c:v>
                </c:pt>
                <c:pt idx="27">
                  <c:v>87.0</c:v>
                </c:pt>
                <c:pt idx="28">
                  <c:v>88.0</c:v>
                </c:pt>
                <c:pt idx="29">
                  <c:v>89.0</c:v>
                </c:pt>
                <c:pt idx="30">
                  <c:v>90.0</c:v>
                </c:pt>
                <c:pt idx="31">
                  <c:v>91.0</c:v>
                </c:pt>
                <c:pt idx="32">
                  <c:v>92.0</c:v>
                </c:pt>
                <c:pt idx="33">
                  <c:v>93.0</c:v>
                </c:pt>
                <c:pt idx="34">
                  <c:v>94.0</c:v>
                </c:pt>
                <c:pt idx="35">
                  <c:v>95.0</c:v>
                </c:pt>
                <c:pt idx="36">
                  <c:v>96.0</c:v>
                </c:pt>
                <c:pt idx="37">
                  <c:v>97.0</c:v>
                </c:pt>
                <c:pt idx="38">
                  <c:v>98.0</c:v>
                </c:pt>
                <c:pt idx="39">
                  <c:v>99.0</c:v>
                </c:pt>
                <c:pt idx="40">
                  <c:v>100.0</c:v>
                </c:pt>
              </c:numCache>
            </c:numRef>
          </c:cat>
          <c:val>
            <c:numRef>
              <c:f>'Scen 1'!$P$55:$P$95</c:f>
              <c:numCache>
                <c:formatCode>\$#,##0</c:formatCode>
                <c:ptCount val="41"/>
                <c:pt idx="0">
                  <c:v>1.7E6</c:v>
                </c:pt>
                <c:pt idx="1">
                  <c:v>1.811124E6</c:v>
                </c:pt>
                <c:pt idx="2">
                  <c:v>1.7799101032E6</c:v>
                </c:pt>
                <c:pt idx="3">
                  <c:v>1.69828066102976E6</c:v>
                </c:pt>
                <c:pt idx="4">
                  <c:v>1.60860308391595E6</c:v>
                </c:pt>
                <c:pt idx="5">
                  <c:v>1.51037388283172E6</c:v>
                </c:pt>
                <c:pt idx="6">
                  <c:v>1.4537100968244E6</c:v>
                </c:pt>
                <c:pt idx="7">
                  <c:v>1.39129396712022E6</c:v>
                </c:pt>
                <c:pt idx="8">
                  <c:v>1.32276326967882E6</c:v>
                </c:pt>
                <c:pt idx="9">
                  <c:v>1.24773603794408E6</c:v>
                </c:pt>
                <c:pt idx="10">
                  <c:v>1.16580955518149E6</c:v>
                </c:pt>
                <c:pt idx="11">
                  <c:v>1.07655929714545E6</c:v>
                </c:pt>
                <c:pt idx="12">
                  <c:v>979537.822676776</c:v>
                </c:pt>
                <c:pt idx="13">
                  <c:v>874273.6097157123</c:v>
                </c:pt>
                <c:pt idx="14">
                  <c:v>760269.8340962005</c:v>
                </c:pt>
                <c:pt idx="15">
                  <c:v>637003.0883610696</c:v>
                </c:pt>
                <c:pt idx="16">
                  <c:v>503922.0377064095</c:v>
                </c:pt>
                <c:pt idx="17">
                  <c:v>390677.8796918155</c:v>
                </c:pt>
                <c:pt idx="18">
                  <c:v>268029.0638007611</c:v>
                </c:pt>
                <c:pt idx="19">
                  <c:v>135412.3071061862</c:v>
                </c:pt>
                <c:pt idx="20">
                  <c:v>-7765.729308108217</c:v>
                </c:pt>
                <c:pt idx="21">
                  <c:v>-161766.5216665781</c:v>
                </c:pt>
                <c:pt idx="22">
                  <c:v>-320387.3377958022</c:v>
                </c:pt>
                <c:pt idx="23">
                  <c:v>-483766.7784089029</c:v>
                </c:pt>
                <c:pt idx="24">
                  <c:v>-652047.6022403967</c:v>
                </c:pt>
                <c:pt idx="25">
                  <c:v>-825376.850786835</c:v>
                </c:pt>
                <c:pt idx="26">
                  <c:v>-1.00390597678967E6</c:v>
                </c:pt>
                <c:pt idx="27">
                  <c:v>-1.18779097657258E6</c:v>
                </c:pt>
                <c:pt idx="28">
                  <c:v>-1.37719252634899E6</c:v>
                </c:pt>
                <c:pt idx="29">
                  <c:v>-1.57227612261868E6</c:v>
                </c:pt>
                <c:pt idx="30">
                  <c:v>-1.77321222677647E6</c:v>
                </c:pt>
                <c:pt idx="31">
                  <c:v>-2.02781984855298E6</c:v>
                </c:pt>
                <c:pt idx="32">
                  <c:v>-2.29006569898279E6</c:v>
                </c:pt>
                <c:pt idx="33">
                  <c:v>-2.56017892492549E6</c:v>
                </c:pt>
                <c:pt idx="34">
                  <c:v>-2.83839554764647E6</c:v>
                </c:pt>
                <c:pt idx="35">
                  <c:v>-3.12495866904908E6</c:v>
                </c:pt>
                <c:pt idx="36">
                  <c:v>-3.42011868409377E6</c:v>
                </c:pt>
                <c:pt idx="37">
                  <c:v>-3.72413349958981E6</c:v>
                </c:pt>
                <c:pt idx="38">
                  <c:v>-4.03726875955072E6</c:v>
                </c:pt>
                <c:pt idx="39">
                  <c:v>-4.35979807731046E6</c:v>
                </c:pt>
                <c:pt idx="40">
                  <c:v>-4.69200327460299E6</c:v>
                </c:pt>
              </c:numCache>
            </c:numRef>
          </c:val>
        </c:ser>
        <c:marker val="1"/>
        <c:axId val="252855880"/>
        <c:axId val="253085352"/>
      </c:lineChart>
      <c:catAx>
        <c:axId val="25285588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2400" b="1" i="0"/>
            </a:pPr>
            <a:endParaRPr lang="en-US"/>
          </a:p>
        </c:txPr>
        <c:crossAx val="253085352"/>
        <c:crosses val="autoZero"/>
        <c:auto val="1"/>
        <c:lblAlgn val="ctr"/>
        <c:lblOffset val="100"/>
      </c:catAx>
      <c:valAx>
        <c:axId val="253085352"/>
        <c:scaling>
          <c:orientation val="minMax"/>
          <c:max val="2.0E6"/>
          <c:min val="0.0"/>
        </c:scaling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\$#,##0" sourceLinked="1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2400" b="1" i="0"/>
            </a:pPr>
            <a:endParaRPr lang="en-US"/>
          </a:p>
        </c:txPr>
        <c:crossAx val="252855880"/>
        <c:crosses val="autoZero"/>
        <c:crossBetween val="between"/>
        <c:majorUnit val="500000.0"/>
        <c:minorUnit val="100000.0"/>
      </c:valAx>
      <c:spPr>
        <a:solidFill>
          <a:srgbClr val="FFFFFF"/>
        </a:solidFill>
        <a:ln w="25400">
          <a:noFill/>
        </a:ln>
      </c:spPr>
    </c:plotArea>
    <c:legend>
      <c:legendPos val="b"/>
      <c:layout/>
      <c:spPr>
        <a:noFill/>
        <a:ln w="25400">
          <a:noFill/>
        </a:ln>
      </c:spPr>
      <c:txPr>
        <a:bodyPr/>
        <a:lstStyle/>
        <a:p>
          <a:pPr>
            <a:defRPr sz="2400" b="1" i="0"/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plotArea>
      <c:layout/>
      <c:lineChart>
        <c:grouping val="standard"/>
        <c:ser>
          <c:idx val="0"/>
          <c:order val="0"/>
          <c:tx>
            <c:v>Income</c:v>
          </c:tx>
          <c:spPr>
            <a:ln w="635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numRef>
              <c:f>'Scen 2'!$B$55:$B$95</c:f>
              <c:numCache>
                <c:formatCode>General</c:formatCode>
                <c:ptCount val="41"/>
                <c:pt idx="0">
                  <c:v>60.0</c:v>
                </c:pt>
                <c:pt idx="1">
                  <c:v>61.0</c:v>
                </c:pt>
                <c:pt idx="2">
                  <c:v>62.0</c:v>
                </c:pt>
                <c:pt idx="3">
                  <c:v>63.0</c:v>
                </c:pt>
                <c:pt idx="4">
                  <c:v>64.0</c:v>
                </c:pt>
                <c:pt idx="5">
                  <c:v>65.0</c:v>
                </c:pt>
                <c:pt idx="6">
                  <c:v>66.0</c:v>
                </c:pt>
                <c:pt idx="7">
                  <c:v>67.0</c:v>
                </c:pt>
                <c:pt idx="8">
                  <c:v>68.0</c:v>
                </c:pt>
                <c:pt idx="9">
                  <c:v>69.0</c:v>
                </c:pt>
                <c:pt idx="10">
                  <c:v>70.0</c:v>
                </c:pt>
                <c:pt idx="11">
                  <c:v>71.0</c:v>
                </c:pt>
                <c:pt idx="12">
                  <c:v>72.0</c:v>
                </c:pt>
                <c:pt idx="13">
                  <c:v>73.0</c:v>
                </c:pt>
                <c:pt idx="14">
                  <c:v>74.0</c:v>
                </c:pt>
                <c:pt idx="15">
                  <c:v>75.0</c:v>
                </c:pt>
                <c:pt idx="16">
                  <c:v>76.0</c:v>
                </c:pt>
                <c:pt idx="17">
                  <c:v>77.0</c:v>
                </c:pt>
                <c:pt idx="18">
                  <c:v>78.0</c:v>
                </c:pt>
                <c:pt idx="19">
                  <c:v>79.0</c:v>
                </c:pt>
                <c:pt idx="20">
                  <c:v>80.0</c:v>
                </c:pt>
                <c:pt idx="21">
                  <c:v>81.0</c:v>
                </c:pt>
                <c:pt idx="22">
                  <c:v>82.0</c:v>
                </c:pt>
                <c:pt idx="23">
                  <c:v>83.0</c:v>
                </c:pt>
                <c:pt idx="24">
                  <c:v>84.0</c:v>
                </c:pt>
                <c:pt idx="25">
                  <c:v>85.0</c:v>
                </c:pt>
                <c:pt idx="26">
                  <c:v>86.0</c:v>
                </c:pt>
                <c:pt idx="27">
                  <c:v>87.0</c:v>
                </c:pt>
                <c:pt idx="28">
                  <c:v>88.0</c:v>
                </c:pt>
                <c:pt idx="29">
                  <c:v>89.0</c:v>
                </c:pt>
                <c:pt idx="30">
                  <c:v>90.0</c:v>
                </c:pt>
                <c:pt idx="31">
                  <c:v>91.0</c:v>
                </c:pt>
                <c:pt idx="32">
                  <c:v>92.0</c:v>
                </c:pt>
                <c:pt idx="33">
                  <c:v>93.0</c:v>
                </c:pt>
                <c:pt idx="34">
                  <c:v>94.0</c:v>
                </c:pt>
                <c:pt idx="35">
                  <c:v>95.0</c:v>
                </c:pt>
                <c:pt idx="36">
                  <c:v>96.0</c:v>
                </c:pt>
                <c:pt idx="37">
                  <c:v>97.0</c:v>
                </c:pt>
                <c:pt idx="38">
                  <c:v>98.0</c:v>
                </c:pt>
                <c:pt idx="39">
                  <c:v>99.0</c:v>
                </c:pt>
                <c:pt idx="40">
                  <c:v>100.0</c:v>
                </c:pt>
              </c:numCache>
            </c:numRef>
          </c:cat>
          <c:val>
            <c:numRef>
              <c:f>'Scen 2'!$I$55:$I$95</c:f>
              <c:numCache>
                <c:formatCode>\$#,##0</c:formatCode>
                <c:ptCount val="41"/>
                <c:pt idx="0">
                  <c:v>280000.0</c:v>
                </c:pt>
                <c:pt idx="1">
                  <c:v>318300.0</c:v>
                </c:pt>
                <c:pt idx="2">
                  <c:v>249475.44</c:v>
                </c:pt>
                <c:pt idx="3">
                  <c:v>256942.460592</c:v>
                </c:pt>
                <c:pt idx="4">
                  <c:v>264675.8848477055</c:v>
                </c:pt>
                <c:pt idx="5">
                  <c:v>272685.6888715782</c:v>
                </c:pt>
                <c:pt idx="6">
                  <c:v>161695.9653186781</c:v>
                </c:pt>
                <c:pt idx="7">
                  <c:v>161128.8558732195</c:v>
                </c:pt>
                <c:pt idx="8">
                  <c:v>157214.764753101</c:v>
                </c:pt>
                <c:pt idx="9">
                  <c:v>152817.0465213114</c:v>
                </c:pt>
                <c:pt idx="10">
                  <c:v>147904.053999607</c:v>
                </c:pt>
                <c:pt idx="11">
                  <c:v>145862.6677386663</c:v>
                </c:pt>
                <c:pt idx="12">
                  <c:v>143500.04572107</c:v>
                </c:pt>
                <c:pt idx="13">
                  <c:v>140794.3831470171</c:v>
                </c:pt>
                <c:pt idx="14">
                  <c:v>137722.6516230846</c:v>
                </c:pt>
                <c:pt idx="15">
                  <c:v>134260.5358041757</c:v>
                </c:pt>
                <c:pt idx="16">
                  <c:v>130382.3668874958</c:v>
                </c:pt>
                <c:pt idx="17">
                  <c:v>126061.0528057458</c:v>
                </c:pt>
                <c:pt idx="18">
                  <c:v>123084.6398008963</c:v>
                </c:pt>
                <c:pt idx="19">
                  <c:v>119702.648559135</c:v>
                </c:pt>
                <c:pt idx="20">
                  <c:v>115888.1095557261</c:v>
                </c:pt>
                <c:pt idx="21">
                  <c:v>111612.5514382783</c:v>
                </c:pt>
                <c:pt idx="22">
                  <c:v>106845.9235515943</c:v>
                </c:pt>
                <c:pt idx="23">
                  <c:v>101556.5146209936</c:v>
                </c:pt>
                <c:pt idx="24">
                  <c:v>95710.8674078563</c:v>
                </c:pt>
                <c:pt idx="25">
                  <c:v>89273.6891422222</c:v>
                </c:pt>
                <c:pt idx="26">
                  <c:v>82207.75752794679</c:v>
                </c:pt>
                <c:pt idx="27">
                  <c:v>74473.82210613934</c:v>
                </c:pt>
                <c:pt idx="28">
                  <c:v>75100.46392450065</c:v>
                </c:pt>
                <c:pt idx="29">
                  <c:v>77353.47784223567</c:v>
                </c:pt>
                <c:pt idx="30">
                  <c:v>79674.08217750276</c:v>
                </c:pt>
                <c:pt idx="31">
                  <c:v>82064.30464282784</c:v>
                </c:pt>
                <c:pt idx="32">
                  <c:v>84526.23378211269</c:v>
                </c:pt>
                <c:pt idx="33">
                  <c:v>87062.02079557607</c:v>
                </c:pt>
                <c:pt idx="34">
                  <c:v>89673.88141944335</c:v>
                </c:pt>
                <c:pt idx="35">
                  <c:v>92364.09786202665</c:v>
                </c:pt>
                <c:pt idx="36">
                  <c:v>95135.02079788746</c:v>
                </c:pt>
                <c:pt idx="37">
                  <c:v>97989.07142182407</c:v>
                </c:pt>
                <c:pt idx="38">
                  <c:v>100928.7435644788</c:v>
                </c:pt>
                <c:pt idx="39">
                  <c:v>103956.6058714132</c:v>
                </c:pt>
                <c:pt idx="40">
                  <c:v>107075.3040475556</c:v>
                </c:pt>
              </c:numCache>
            </c:numRef>
          </c:val>
        </c:ser>
        <c:ser>
          <c:idx val="1"/>
          <c:order val="1"/>
          <c:tx>
            <c:v>Expenses</c:v>
          </c:tx>
          <c:spPr>
            <a:ln w="635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'Scen 2'!$B$55:$B$95</c:f>
              <c:numCache>
                <c:formatCode>General</c:formatCode>
                <c:ptCount val="41"/>
                <c:pt idx="0">
                  <c:v>60.0</c:v>
                </c:pt>
                <c:pt idx="1">
                  <c:v>61.0</c:v>
                </c:pt>
                <c:pt idx="2">
                  <c:v>62.0</c:v>
                </c:pt>
                <c:pt idx="3">
                  <c:v>63.0</c:v>
                </c:pt>
                <c:pt idx="4">
                  <c:v>64.0</c:v>
                </c:pt>
                <c:pt idx="5">
                  <c:v>65.0</c:v>
                </c:pt>
                <c:pt idx="6">
                  <c:v>66.0</c:v>
                </c:pt>
                <c:pt idx="7">
                  <c:v>67.0</c:v>
                </c:pt>
                <c:pt idx="8">
                  <c:v>68.0</c:v>
                </c:pt>
                <c:pt idx="9">
                  <c:v>69.0</c:v>
                </c:pt>
                <c:pt idx="10">
                  <c:v>70.0</c:v>
                </c:pt>
                <c:pt idx="11">
                  <c:v>71.0</c:v>
                </c:pt>
                <c:pt idx="12">
                  <c:v>72.0</c:v>
                </c:pt>
                <c:pt idx="13">
                  <c:v>73.0</c:v>
                </c:pt>
                <c:pt idx="14">
                  <c:v>74.0</c:v>
                </c:pt>
                <c:pt idx="15">
                  <c:v>75.0</c:v>
                </c:pt>
                <c:pt idx="16">
                  <c:v>76.0</c:v>
                </c:pt>
                <c:pt idx="17">
                  <c:v>77.0</c:v>
                </c:pt>
                <c:pt idx="18">
                  <c:v>78.0</c:v>
                </c:pt>
                <c:pt idx="19">
                  <c:v>79.0</c:v>
                </c:pt>
                <c:pt idx="20">
                  <c:v>80.0</c:v>
                </c:pt>
                <c:pt idx="21">
                  <c:v>81.0</c:v>
                </c:pt>
                <c:pt idx="22">
                  <c:v>82.0</c:v>
                </c:pt>
                <c:pt idx="23">
                  <c:v>83.0</c:v>
                </c:pt>
                <c:pt idx="24">
                  <c:v>84.0</c:v>
                </c:pt>
                <c:pt idx="25">
                  <c:v>85.0</c:v>
                </c:pt>
                <c:pt idx="26">
                  <c:v>86.0</c:v>
                </c:pt>
                <c:pt idx="27">
                  <c:v>87.0</c:v>
                </c:pt>
                <c:pt idx="28">
                  <c:v>88.0</c:v>
                </c:pt>
                <c:pt idx="29">
                  <c:v>89.0</c:v>
                </c:pt>
                <c:pt idx="30">
                  <c:v>90.0</c:v>
                </c:pt>
                <c:pt idx="31">
                  <c:v>91.0</c:v>
                </c:pt>
                <c:pt idx="32">
                  <c:v>92.0</c:v>
                </c:pt>
                <c:pt idx="33">
                  <c:v>93.0</c:v>
                </c:pt>
                <c:pt idx="34">
                  <c:v>94.0</c:v>
                </c:pt>
                <c:pt idx="35">
                  <c:v>95.0</c:v>
                </c:pt>
                <c:pt idx="36">
                  <c:v>96.0</c:v>
                </c:pt>
                <c:pt idx="37">
                  <c:v>97.0</c:v>
                </c:pt>
                <c:pt idx="38">
                  <c:v>98.0</c:v>
                </c:pt>
                <c:pt idx="39">
                  <c:v>99.0</c:v>
                </c:pt>
                <c:pt idx="40">
                  <c:v>100.0</c:v>
                </c:pt>
              </c:numCache>
            </c:numRef>
          </c:cat>
          <c:val>
            <c:numRef>
              <c:f>'Scen 2'!$N$55:$N$95</c:f>
              <c:numCache>
                <c:formatCode>\$#,##0</c:formatCode>
                <c:ptCount val="41"/>
                <c:pt idx="0">
                  <c:v>205000.0</c:v>
                </c:pt>
                <c:pt idx="1">
                  <c:v>207176.0</c:v>
                </c:pt>
                <c:pt idx="2">
                  <c:v>195429.0968</c:v>
                </c:pt>
                <c:pt idx="3">
                  <c:v>200568.17633024</c:v>
                </c:pt>
                <c:pt idx="4">
                  <c:v>205870.7547164953</c:v>
                </c:pt>
                <c:pt idx="5">
                  <c:v>211342.1734032472</c:v>
                </c:pt>
                <c:pt idx="6">
                  <c:v>190744.9738771542</c:v>
                </c:pt>
                <c:pt idx="7">
                  <c:v>246548.8078767197</c:v>
                </c:pt>
                <c:pt idx="8">
                  <c:v>251300.7216178319</c:v>
                </c:pt>
                <c:pt idx="9">
                  <c:v>256114.6278080027</c:v>
                </c:pt>
                <c:pt idx="10">
                  <c:v>203983.9621179845</c:v>
                </c:pt>
                <c:pt idx="11">
                  <c:v>207958.2092477196</c:v>
                </c:pt>
                <c:pt idx="12">
                  <c:v>211994.4850742048</c:v>
                </c:pt>
                <c:pt idx="13">
                  <c:v>216091.9735583803</c:v>
                </c:pt>
                <c:pt idx="14">
                  <c:v>220249.7089010963</c:v>
                </c:pt>
                <c:pt idx="15">
                  <c:v>224466.5651872568</c:v>
                </c:pt>
                <c:pt idx="16">
                  <c:v>228741.2454448974</c:v>
                </c:pt>
                <c:pt idx="17">
                  <c:v>202795.0227306531</c:v>
                </c:pt>
                <c:pt idx="18">
                  <c:v>207392.0596029879</c:v>
                </c:pt>
                <c:pt idx="19">
                  <c:v>212057.4246952041</c:v>
                </c:pt>
                <c:pt idx="20">
                  <c:v>216789.91137482</c:v>
                </c:pt>
                <c:pt idx="21">
                  <c:v>221588.1244071583</c:v>
                </c:pt>
                <c:pt idx="22">
                  <c:v>226450.46716481</c:v>
                </c:pt>
                <c:pt idx="23">
                  <c:v>231375.1281195816</c:v>
                </c:pt>
                <c:pt idx="24">
                  <c:v>236360.0665797803</c:v>
                </c:pt>
                <c:pt idx="25">
                  <c:v>241402.9976338423</c:v>
                </c:pt>
                <c:pt idx="26">
                  <c:v>246501.3762593783</c:v>
                </c:pt>
                <c:pt idx="27">
                  <c:v>251652.3805546776</c:v>
                </c:pt>
                <c:pt idx="28">
                  <c:v>258848.285945457</c:v>
                </c:pt>
                <c:pt idx="29">
                  <c:v>266613.7345238206</c:v>
                </c:pt>
                <c:pt idx="30">
                  <c:v>274612.1465595353</c:v>
                </c:pt>
                <c:pt idx="31">
                  <c:v>330562.583280584</c:v>
                </c:pt>
                <c:pt idx="32">
                  <c:v>340479.4607790016</c:v>
                </c:pt>
                <c:pt idx="33">
                  <c:v>350693.8446023717</c:v>
                </c:pt>
                <c:pt idx="34">
                  <c:v>361214.6599404428</c:v>
                </c:pt>
                <c:pt idx="35">
                  <c:v>372051.0997386561</c:v>
                </c:pt>
                <c:pt idx="36">
                  <c:v>383212.6327308159</c:v>
                </c:pt>
                <c:pt idx="37">
                  <c:v>394709.0117127403</c:v>
                </c:pt>
                <c:pt idx="38">
                  <c:v>406550.2820641225</c:v>
                </c:pt>
                <c:pt idx="39">
                  <c:v>418746.7905260462</c:v>
                </c:pt>
                <c:pt idx="40">
                  <c:v>431309.1942418275</c:v>
                </c:pt>
              </c:numCache>
            </c:numRef>
          </c:val>
        </c:ser>
        <c:ser>
          <c:idx val="2"/>
          <c:order val="2"/>
          <c:tx>
            <c:v>Portfolio</c:v>
          </c:tx>
          <c:spPr>
            <a:ln w="635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'Scen 2'!$B$55:$B$95</c:f>
              <c:numCache>
                <c:formatCode>General</c:formatCode>
                <c:ptCount val="41"/>
                <c:pt idx="0">
                  <c:v>60.0</c:v>
                </c:pt>
                <c:pt idx="1">
                  <c:v>61.0</c:v>
                </c:pt>
                <c:pt idx="2">
                  <c:v>62.0</c:v>
                </c:pt>
                <c:pt idx="3">
                  <c:v>63.0</c:v>
                </c:pt>
                <c:pt idx="4">
                  <c:v>64.0</c:v>
                </c:pt>
                <c:pt idx="5">
                  <c:v>65.0</c:v>
                </c:pt>
                <c:pt idx="6">
                  <c:v>66.0</c:v>
                </c:pt>
                <c:pt idx="7">
                  <c:v>67.0</c:v>
                </c:pt>
                <c:pt idx="8">
                  <c:v>68.0</c:v>
                </c:pt>
                <c:pt idx="9">
                  <c:v>69.0</c:v>
                </c:pt>
                <c:pt idx="10">
                  <c:v>70.0</c:v>
                </c:pt>
                <c:pt idx="11">
                  <c:v>71.0</c:v>
                </c:pt>
                <c:pt idx="12">
                  <c:v>72.0</c:v>
                </c:pt>
                <c:pt idx="13">
                  <c:v>73.0</c:v>
                </c:pt>
                <c:pt idx="14">
                  <c:v>74.0</c:v>
                </c:pt>
                <c:pt idx="15">
                  <c:v>75.0</c:v>
                </c:pt>
                <c:pt idx="16">
                  <c:v>76.0</c:v>
                </c:pt>
                <c:pt idx="17">
                  <c:v>77.0</c:v>
                </c:pt>
                <c:pt idx="18">
                  <c:v>78.0</c:v>
                </c:pt>
                <c:pt idx="19">
                  <c:v>79.0</c:v>
                </c:pt>
                <c:pt idx="20">
                  <c:v>80.0</c:v>
                </c:pt>
                <c:pt idx="21">
                  <c:v>81.0</c:v>
                </c:pt>
                <c:pt idx="22">
                  <c:v>82.0</c:v>
                </c:pt>
                <c:pt idx="23">
                  <c:v>83.0</c:v>
                </c:pt>
                <c:pt idx="24">
                  <c:v>84.0</c:v>
                </c:pt>
                <c:pt idx="25">
                  <c:v>85.0</c:v>
                </c:pt>
                <c:pt idx="26">
                  <c:v>86.0</c:v>
                </c:pt>
                <c:pt idx="27">
                  <c:v>87.0</c:v>
                </c:pt>
                <c:pt idx="28">
                  <c:v>88.0</c:v>
                </c:pt>
                <c:pt idx="29">
                  <c:v>89.0</c:v>
                </c:pt>
                <c:pt idx="30">
                  <c:v>90.0</c:v>
                </c:pt>
                <c:pt idx="31">
                  <c:v>91.0</c:v>
                </c:pt>
                <c:pt idx="32">
                  <c:v>92.0</c:v>
                </c:pt>
                <c:pt idx="33">
                  <c:v>93.0</c:v>
                </c:pt>
                <c:pt idx="34">
                  <c:v>94.0</c:v>
                </c:pt>
                <c:pt idx="35">
                  <c:v>95.0</c:v>
                </c:pt>
                <c:pt idx="36">
                  <c:v>96.0</c:v>
                </c:pt>
                <c:pt idx="37">
                  <c:v>97.0</c:v>
                </c:pt>
                <c:pt idx="38">
                  <c:v>98.0</c:v>
                </c:pt>
                <c:pt idx="39">
                  <c:v>99.0</c:v>
                </c:pt>
                <c:pt idx="40">
                  <c:v>100.0</c:v>
                </c:pt>
              </c:numCache>
            </c:numRef>
          </c:cat>
          <c:val>
            <c:numRef>
              <c:f>'Scen 2'!$P$55:$P$95</c:f>
              <c:numCache>
                <c:formatCode>\$#,##0</c:formatCode>
                <c:ptCount val="41"/>
                <c:pt idx="0">
                  <c:v>1.7E6</c:v>
                </c:pt>
                <c:pt idx="1">
                  <c:v>1.811124E6</c:v>
                </c:pt>
                <c:pt idx="2">
                  <c:v>1.8651703432E6</c:v>
                </c:pt>
                <c:pt idx="3">
                  <c:v>1.92154462746176E6</c:v>
                </c:pt>
                <c:pt idx="4">
                  <c:v>1.98034975759297E6</c:v>
                </c:pt>
                <c:pt idx="5">
                  <c:v>2.0416932730613E6</c:v>
                </c:pt>
                <c:pt idx="6">
                  <c:v>2.01264426450282E6</c:v>
                </c:pt>
                <c:pt idx="7">
                  <c:v>1.92722431249932E6</c:v>
                </c:pt>
                <c:pt idx="8">
                  <c:v>1.83313835563459E6</c:v>
                </c:pt>
                <c:pt idx="9">
                  <c:v>1.7298407743479E6</c:v>
                </c:pt>
                <c:pt idx="10">
                  <c:v>1.67376086622953E6</c:v>
                </c:pt>
                <c:pt idx="11">
                  <c:v>1.61166532472047E6</c:v>
                </c:pt>
                <c:pt idx="12">
                  <c:v>1.54317088536734E6</c:v>
                </c:pt>
                <c:pt idx="13">
                  <c:v>1.46787329495597E6</c:v>
                </c:pt>
                <c:pt idx="14">
                  <c:v>1.38534623767796E6</c:v>
                </c:pt>
                <c:pt idx="15">
                  <c:v>1.29514020829488E6</c:v>
                </c:pt>
                <c:pt idx="16">
                  <c:v>1.19678132973748E6</c:v>
                </c:pt>
                <c:pt idx="17">
                  <c:v>1.12004735981257E6</c:v>
                </c:pt>
                <c:pt idx="18">
                  <c:v>1.03573994001048E6</c:v>
                </c:pt>
                <c:pt idx="19">
                  <c:v>943385.1638744112</c:v>
                </c:pt>
                <c:pt idx="20">
                  <c:v>842483.3620553172</c:v>
                </c:pt>
                <c:pt idx="21">
                  <c:v>732507.7890864373</c:v>
                </c:pt>
                <c:pt idx="22">
                  <c:v>612903.2454732216</c:v>
                </c:pt>
                <c:pt idx="23">
                  <c:v>483084.6319746336</c:v>
                </c:pt>
                <c:pt idx="24">
                  <c:v>342435.4328027096</c:v>
                </c:pt>
                <c:pt idx="25">
                  <c:v>190306.1243110895</c:v>
                </c:pt>
                <c:pt idx="26">
                  <c:v>26012.50557965797</c:v>
                </c:pt>
                <c:pt idx="27">
                  <c:v>-151166.0528688803</c:v>
                </c:pt>
                <c:pt idx="28">
                  <c:v>-334913.8748898366</c:v>
                </c:pt>
                <c:pt idx="29">
                  <c:v>-524174.1315714216</c:v>
                </c:pt>
                <c:pt idx="30">
                  <c:v>-719112.1959534541</c:v>
                </c:pt>
                <c:pt idx="31">
                  <c:v>-967610.4745912104</c:v>
                </c:pt>
                <c:pt idx="32">
                  <c:v>-1.2235637015881E6</c:v>
                </c:pt>
                <c:pt idx="33">
                  <c:v>-1.4871955253949E6</c:v>
                </c:pt>
                <c:pt idx="34">
                  <c:v>-1.75873630391589E6</c:v>
                </c:pt>
                <c:pt idx="35">
                  <c:v>-2.03842330579252E6</c:v>
                </c:pt>
                <c:pt idx="36">
                  <c:v>-2.32650091772545E6</c:v>
                </c:pt>
                <c:pt idx="37">
                  <c:v>-2.62322085801637E6</c:v>
                </c:pt>
                <c:pt idx="38">
                  <c:v>-2.92884239651601E6</c:v>
                </c:pt>
                <c:pt idx="39">
                  <c:v>-3.24363258117065E6</c:v>
                </c:pt>
                <c:pt idx="40">
                  <c:v>-3.56786647136492E6</c:v>
                </c:pt>
              </c:numCache>
            </c:numRef>
          </c:val>
        </c:ser>
        <c:marker val="1"/>
        <c:axId val="250697336"/>
        <c:axId val="298438456"/>
      </c:lineChart>
      <c:catAx>
        <c:axId val="25069733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2400" b="1" i="0"/>
            </a:pPr>
            <a:endParaRPr lang="en-US"/>
          </a:p>
        </c:txPr>
        <c:crossAx val="298438456"/>
        <c:crosses val="autoZero"/>
        <c:auto val="1"/>
        <c:lblAlgn val="ctr"/>
        <c:lblOffset val="100"/>
      </c:catAx>
      <c:valAx>
        <c:axId val="298438456"/>
        <c:scaling>
          <c:orientation val="minMax"/>
          <c:max val="2.5E6"/>
          <c:min val="0.0"/>
        </c:scaling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\$#,##0" sourceLinked="1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2400" b="1" i="0"/>
            </a:pPr>
            <a:endParaRPr lang="en-US"/>
          </a:p>
        </c:txPr>
        <c:crossAx val="250697336"/>
        <c:crosses val="autoZero"/>
        <c:crossBetween val="between"/>
        <c:minorUnit val="100000.0"/>
      </c:valAx>
      <c:spPr>
        <a:solidFill>
          <a:srgbClr val="FFFFFF"/>
        </a:solidFill>
        <a:ln w="25400">
          <a:noFill/>
        </a:ln>
      </c:spPr>
    </c:plotArea>
    <c:legend>
      <c:legendPos val="b"/>
      <c:layout/>
      <c:spPr>
        <a:noFill/>
        <a:ln w="25400">
          <a:noFill/>
        </a:ln>
      </c:spPr>
      <c:txPr>
        <a:bodyPr/>
        <a:lstStyle/>
        <a:p>
          <a:pPr>
            <a:defRPr sz="3200" b="1" i="0"/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plotArea>
      <c:layout/>
      <c:lineChart>
        <c:grouping val="standard"/>
        <c:ser>
          <c:idx val="0"/>
          <c:order val="0"/>
          <c:tx>
            <c:v>Income</c:v>
          </c:tx>
          <c:spPr>
            <a:ln w="635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numRef>
              <c:f>'Scen 3'!$B$55:$B$95</c:f>
              <c:numCache>
                <c:formatCode>General</c:formatCode>
                <c:ptCount val="41"/>
                <c:pt idx="0">
                  <c:v>60.0</c:v>
                </c:pt>
                <c:pt idx="1">
                  <c:v>61.0</c:v>
                </c:pt>
                <c:pt idx="2">
                  <c:v>62.0</c:v>
                </c:pt>
                <c:pt idx="3">
                  <c:v>63.0</c:v>
                </c:pt>
                <c:pt idx="4">
                  <c:v>64.0</c:v>
                </c:pt>
                <c:pt idx="5">
                  <c:v>65.0</c:v>
                </c:pt>
                <c:pt idx="6">
                  <c:v>66.0</c:v>
                </c:pt>
                <c:pt idx="7">
                  <c:v>67.0</c:v>
                </c:pt>
                <c:pt idx="8">
                  <c:v>68.0</c:v>
                </c:pt>
                <c:pt idx="9">
                  <c:v>69.0</c:v>
                </c:pt>
                <c:pt idx="10">
                  <c:v>70.0</c:v>
                </c:pt>
                <c:pt idx="11">
                  <c:v>71.0</c:v>
                </c:pt>
                <c:pt idx="12">
                  <c:v>72.0</c:v>
                </c:pt>
                <c:pt idx="13">
                  <c:v>73.0</c:v>
                </c:pt>
                <c:pt idx="14">
                  <c:v>74.0</c:v>
                </c:pt>
                <c:pt idx="15">
                  <c:v>75.0</c:v>
                </c:pt>
                <c:pt idx="16">
                  <c:v>76.0</c:v>
                </c:pt>
                <c:pt idx="17">
                  <c:v>77.0</c:v>
                </c:pt>
                <c:pt idx="18">
                  <c:v>78.0</c:v>
                </c:pt>
                <c:pt idx="19">
                  <c:v>79.0</c:v>
                </c:pt>
                <c:pt idx="20">
                  <c:v>80.0</c:v>
                </c:pt>
                <c:pt idx="21">
                  <c:v>81.0</c:v>
                </c:pt>
                <c:pt idx="22">
                  <c:v>82.0</c:v>
                </c:pt>
                <c:pt idx="23">
                  <c:v>83.0</c:v>
                </c:pt>
                <c:pt idx="24">
                  <c:v>84.0</c:v>
                </c:pt>
                <c:pt idx="25">
                  <c:v>85.0</c:v>
                </c:pt>
                <c:pt idx="26">
                  <c:v>86.0</c:v>
                </c:pt>
                <c:pt idx="27">
                  <c:v>87.0</c:v>
                </c:pt>
                <c:pt idx="28">
                  <c:v>88.0</c:v>
                </c:pt>
                <c:pt idx="29">
                  <c:v>89.0</c:v>
                </c:pt>
                <c:pt idx="30">
                  <c:v>90.0</c:v>
                </c:pt>
                <c:pt idx="31">
                  <c:v>91.0</c:v>
                </c:pt>
                <c:pt idx="32">
                  <c:v>92.0</c:v>
                </c:pt>
                <c:pt idx="33">
                  <c:v>93.0</c:v>
                </c:pt>
                <c:pt idx="34">
                  <c:v>94.0</c:v>
                </c:pt>
                <c:pt idx="35">
                  <c:v>95.0</c:v>
                </c:pt>
                <c:pt idx="36">
                  <c:v>96.0</c:v>
                </c:pt>
                <c:pt idx="37">
                  <c:v>97.0</c:v>
                </c:pt>
                <c:pt idx="38">
                  <c:v>98.0</c:v>
                </c:pt>
                <c:pt idx="39">
                  <c:v>99.0</c:v>
                </c:pt>
                <c:pt idx="40">
                  <c:v>100.0</c:v>
                </c:pt>
              </c:numCache>
            </c:numRef>
          </c:cat>
          <c:val>
            <c:numRef>
              <c:f>'Scen 3'!$I$55:$I$95</c:f>
              <c:numCache>
                <c:formatCode>\$#,##0</c:formatCode>
                <c:ptCount val="41"/>
                <c:pt idx="0">
                  <c:v>280000.0</c:v>
                </c:pt>
                <c:pt idx="1">
                  <c:v>318300.0</c:v>
                </c:pt>
                <c:pt idx="2">
                  <c:v>331456.44</c:v>
                </c:pt>
                <c:pt idx="3">
                  <c:v>345219.601392</c:v>
                </c:pt>
                <c:pt idx="4">
                  <c:v>359617.6087371456</c:v>
                </c:pt>
                <c:pt idx="5">
                  <c:v>374679.894726044</c:v>
                </c:pt>
                <c:pt idx="6">
                  <c:v>181686.2788851329</c:v>
                </c:pt>
                <c:pt idx="7">
                  <c:v>182138.8850465344</c:v>
                </c:pt>
                <c:pt idx="8">
                  <c:v>179294.7572916356</c:v>
                </c:pt>
                <c:pt idx="9">
                  <c:v>176019.6775305551</c:v>
                </c:pt>
                <c:pt idx="10">
                  <c:v>172284.5418045862</c:v>
                </c:pt>
                <c:pt idx="11">
                  <c:v>171478.8952473566</c:v>
                </c:pt>
                <c:pt idx="12">
                  <c:v>170412.6875378382</c:v>
                </c:pt>
                <c:pt idx="13">
                  <c:v>169067.0387073013</c:v>
                </c:pt>
                <c:pt idx="14">
                  <c:v>167421.9846332762</c:v>
                </c:pt>
                <c:pt idx="15">
                  <c:v>165456.4202840209</c:v>
                </c:pt>
                <c:pt idx="16">
                  <c:v>163148.0401263176</c:v>
                </c:pt>
                <c:pt idx="17">
                  <c:v>160473.2755584239</c:v>
                </c:pt>
                <c:pt idx="18">
                  <c:v>159223.8640648677</c:v>
                </c:pt>
                <c:pt idx="19">
                  <c:v>157653.1932897222</c:v>
                </c:pt>
                <c:pt idx="20">
                  <c:v>155738.3446938985</c:v>
                </c:pt>
                <c:pt idx="21">
                  <c:v>153455.0906425368</c:v>
                </c:pt>
                <c:pt idx="22">
                  <c:v>150777.8260440803</c:v>
                </c:pt>
                <c:pt idx="23">
                  <c:v>147679.4965772002</c:v>
                </c:pt>
                <c:pt idx="24">
                  <c:v>144131.5233394978</c:v>
                </c:pt>
                <c:pt idx="25">
                  <c:v>140103.7237439454</c:v>
                </c:pt>
                <c:pt idx="26">
                  <c:v>135564.2284806861</c:v>
                </c:pt>
                <c:pt idx="27">
                  <c:v>130479.3943530718</c:v>
                </c:pt>
                <c:pt idx="28">
                  <c:v>124813.7127876699</c:v>
                </c:pt>
                <c:pt idx="29">
                  <c:v>118529.7138083735</c:v>
                </c:pt>
                <c:pt idx="30">
                  <c:v>111587.8652547131</c:v>
                </c:pt>
                <c:pt idx="31">
                  <c:v>103946.4670139447</c:v>
                </c:pt>
                <c:pt idx="32">
                  <c:v>92698.81568601194</c:v>
                </c:pt>
                <c:pt idx="33">
                  <c:v>93294.13823394667</c:v>
                </c:pt>
                <c:pt idx="34">
                  <c:v>96092.96238096507</c:v>
                </c:pt>
                <c:pt idx="35">
                  <c:v>98975.75125239402</c:v>
                </c:pt>
                <c:pt idx="36">
                  <c:v>101945.0237899658</c:v>
                </c:pt>
                <c:pt idx="37">
                  <c:v>105003.3745036648</c:v>
                </c:pt>
                <c:pt idx="38">
                  <c:v>108153.4757387748</c:v>
                </c:pt>
                <c:pt idx="39">
                  <c:v>111398.080010938</c:v>
                </c:pt>
                <c:pt idx="40">
                  <c:v>114740.0224112662</c:v>
                </c:pt>
              </c:numCache>
            </c:numRef>
          </c:val>
        </c:ser>
        <c:ser>
          <c:idx val="1"/>
          <c:order val="1"/>
          <c:tx>
            <c:v>Expenses</c:v>
          </c:tx>
          <c:spPr>
            <a:ln w="635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'Scen 3'!$B$55:$B$95</c:f>
              <c:numCache>
                <c:formatCode>General</c:formatCode>
                <c:ptCount val="41"/>
                <c:pt idx="0">
                  <c:v>60.0</c:v>
                </c:pt>
                <c:pt idx="1">
                  <c:v>61.0</c:v>
                </c:pt>
                <c:pt idx="2">
                  <c:v>62.0</c:v>
                </c:pt>
                <c:pt idx="3">
                  <c:v>63.0</c:v>
                </c:pt>
                <c:pt idx="4">
                  <c:v>64.0</c:v>
                </c:pt>
                <c:pt idx="5">
                  <c:v>65.0</c:v>
                </c:pt>
                <c:pt idx="6">
                  <c:v>66.0</c:v>
                </c:pt>
                <c:pt idx="7">
                  <c:v>67.0</c:v>
                </c:pt>
                <c:pt idx="8">
                  <c:v>68.0</c:v>
                </c:pt>
                <c:pt idx="9">
                  <c:v>69.0</c:v>
                </c:pt>
                <c:pt idx="10">
                  <c:v>70.0</c:v>
                </c:pt>
                <c:pt idx="11">
                  <c:v>71.0</c:v>
                </c:pt>
                <c:pt idx="12">
                  <c:v>72.0</c:v>
                </c:pt>
                <c:pt idx="13">
                  <c:v>73.0</c:v>
                </c:pt>
                <c:pt idx="14">
                  <c:v>74.0</c:v>
                </c:pt>
                <c:pt idx="15">
                  <c:v>75.0</c:v>
                </c:pt>
                <c:pt idx="16">
                  <c:v>76.0</c:v>
                </c:pt>
                <c:pt idx="17">
                  <c:v>77.0</c:v>
                </c:pt>
                <c:pt idx="18">
                  <c:v>78.0</c:v>
                </c:pt>
                <c:pt idx="19">
                  <c:v>79.0</c:v>
                </c:pt>
                <c:pt idx="20">
                  <c:v>80.0</c:v>
                </c:pt>
                <c:pt idx="21">
                  <c:v>81.0</c:v>
                </c:pt>
                <c:pt idx="22">
                  <c:v>82.0</c:v>
                </c:pt>
                <c:pt idx="23">
                  <c:v>83.0</c:v>
                </c:pt>
                <c:pt idx="24">
                  <c:v>84.0</c:v>
                </c:pt>
                <c:pt idx="25">
                  <c:v>85.0</c:v>
                </c:pt>
                <c:pt idx="26">
                  <c:v>86.0</c:v>
                </c:pt>
                <c:pt idx="27">
                  <c:v>87.0</c:v>
                </c:pt>
                <c:pt idx="28">
                  <c:v>88.0</c:v>
                </c:pt>
                <c:pt idx="29">
                  <c:v>89.0</c:v>
                </c:pt>
                <c:pt idx="30">
                  <c:v>90.0</c:v>
                </c:pt>
                <c:pt idx="31">
                  <c:v>91.0</c:v>
                </c:pt>
                <c:pt idx="32">
                  <c:v>92.0</c:v>
                </c:pt>
                <c:pt idx="33">
                  <c:v>93.0</c:v>
                </c:pt>
                <c:pt idx="34">
                  <c:v>94.0</c:v>
                </c:pt>
                <c:pt idx="35">
                  <c:v>95.0</c:v>
                </c:pt>
                <c:pt idx="36">
                  <c:v>96.0</c:v>
                </c:pt>
                <c:pt idx="37">
                  <c:v>97.0</c:v>
                </c:pt>
                <c:pt idx="38">
                  <c:v>98.0</c:v>
                </c:pt>
                <c:pt idx="39">
                  <c:v>99.0</c:v>
                </c:pt>
                <c:pt idx="40">
                  <c:v>100.0</c:v>
                </c:pt>
              </c:numCache>
            </c:numRef>
          </c:cat>
          <c:val>
            <c:numRef>
              <c:f>'Scen 3'!$N$55:$N$95</c:f>
              <c:numCache>
                <c:formatCode>\$#,##0</c:formatCode>
                <c:ptCount val="41"/>
                <c:pt idx="0">
                  <c:v>205000.0</c:v>
                </c:pt>
                <c:pt idx="1">
                  <c:v>207176.0</c:v>
                </c:pt>
                <c:pt idx="2">
                  <c:v>213464.9168</c:v>
                </c:pt>
                <c:pt idx="3">
                  <c:v>219989.14730624</c:v>
                </c:pt>
                <c:pt idx="4">
                  <c:v>226757.933972172</c:v>
                </c:pt>
                <c:pt idx="5">
                  <c:v>233780.8986912297</c:v>
                </c:pt>
                <c:pt idx="6">
                  <c:v>195142.8428617742</c:v>
                </c:pt>
                <c:pt idx="7">
                  <c:v>251171.014294849</c:v>
                </c:pt>
                <c:pt idx="8">
                  <c:v>256158.3199763095</c:v>
                </c:pt>
                <c:pt idx="9">
                  <c:v>261219.2066300363</c:v>
                </c:pt>
                <c:pt idx="10">
                  <c:v>209347.6694350799</c:v>
                </c:pt>
                <c:pt idx="11">
                  <c:v>213593.7792996315</c:v>
                </c:pt>
                <c:pt idx="12">
                  <c:v>217915.2662738938</c:v>
                </c:pt>
                <c:pt idx="13">
                  <c:v>222311.9577816428</c:v>
                </c:pt>
                <c:pt idx="14">
                  <c:v>226783.5621633384</c:v>
                </c:pt>
                <c:pt idx="15">
                  <c:v>231329.6597728227</c:v>
                </c:pt>
                <c:pt idx="16">
                  <c:v>235949.6935574381</c:v>
                </c:pt>
                <c:pt idx="17">
                  <c:v>210365.7117362423</c:v>
                </c:pt>
                <c:pt idx="18">
                  <c:v>215342.6889410616</c:v>
                </c:pt>
                <c:pt idx="19">
                  <c:v>220406.5445359333</c:v>
                </c:pt>
                <c:pt idx="20">
                  <c:v>225556.963105218</c:v>
                </c:pt>
                <c:pt idx="21">
                  <c:v>230793.4830320952</c:v>
                </c:pt>
                <c:pt idx="22">
                  <c:v>236115.4857131569</c:v>
                </c:pt>
                <c:pt idx="23">
                  <c:v>241522.184149947</c:v>
                </c:pt>
                <c:pt idx="24">
                  <c:v>247012.6108847414</c:v>
                </c:pt>
                <c:pt idx="25">
                  <c:v>252585.6052462214</c:v>
                </c:pt>
                <c:pt idx="26">
                  <c:v>258239.799868981</c:v>
                </c:pt>
                <c:pt idx="27">
                  <c:v>263973.6064490027</c:v>
                </c:pt>
                <c:pt idx="28">
                  <c:v>269785.2006953542</c:v>
                </c:pt>
                <c:pt idx="29">
                  <c:v>275672.506436371</c:v>
                </c:pt>
                <c:pt idx="30">
                  <c:v>281633.1788365216</c:v>
                </c:pt>
                <c:pt idx="31">
                  <c:v>335376.6590022298</c:v>
                </c:pt>
                <c:pt idx="32">
                  <c:v>342277.4287978595</c:v>
                </c:pt>
                <c:pt idx="33">
                  <c:v>352064.9104388132</c:v>
                </c:pt>
                <c:pt idx="34">
                  <c:v>362626.8577519776</c:v>
                </c:pt>
                <c:pt idx="35">
                  <c:v>373505.6634845369</c:v>
                </c:pt>
                <c:pt idx="36">
                  <c:v>384710.833389073</c:v>
                </c:pt>
                <c:pt idx="37">
                  <c:v>396252.1583907453</c:v>
                </c:pt>
                <c:pt idx="38">
                  <c:v>408139.7231424676</c:v>
                </c:pt>
                <c:pt idx="39">
                  <c:v>420383.9148367417</c:v>
                </c:pt>
                <c:pt idx="40">
                  <c:v>432995.432281844</c:v>
                </c:pt>
              </c:numCache>
            </c:numRef>
          </c:val>
        </c:ser>
        <c:ser>
          <c:idx val="2"/>
          <c:order val="2"/>
          <c:tx>
            <c:v>Portfolio</c:v>
          </c:tx>
          <c:spPr>
            <a:ln w="635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'Scen 3'!$B$55:$B$95</c:f>
              <c:numCache>
                <c:formatCode>General</c:formatCode>
                <c:ptCount val="41"/>
                <c:pt idx="0">
                  <c:v>60.0</c:v>
                </c:pt>
                <c:pt idx="1">
                  <c:v>61.0</c:v>
                </c:pt>
                <c:pt idx="2">
                  <c:v>62.0</c:v>
                </c:pt>
                <c:pt idx="3">
                  <c:v>63.0</c:v>
                </c:pt>
                <c:pt idx="4">
                  <c:v>64.0</c:v>
                </c:pt>
                <c:pt idx="5">
                  <c:v>65.0</c:v>
                </c:pt>
                <c:pt idx="6">
                  <c:v>66.0</c:v>
                </c:pt>
                <c:pt idx="7">
                  <c:v>67.0</c:v>
                </c:pt>
                <c:pt idx="8">
                  <c:v>68.0</c:v>
                </c:pt>
                <c:pt idx="9">
                  <c:v>69.0</c:v>
                </c:pt>
                <c:pt idx="10">
                  <c:v>70.0</c:v>
                </c:pt>
                <c:pt idx="11">
                  <c:v>71.0</c:v>
                </c:pt>
                <c:pt idx="12">
                  <c:v>72.0</c:v>
                </c:pt>
                <c:pt idx="13">
                  <c:v>73.0</c:v>
                </c:pt>
                <c:pt idx="14">
                  <c:v>74.0</c:v>
                </c:pt>
                <c:pt idx="15">
                  <c:v>75.0</c:v>
                </c:pt>
                <c:pt idx="16">
                  <c:v>76.0</c:v>
                </c:pt>
                <c:pt idx="17">
                  <c:v>77.0</c:v>
                </c:pt>
                <c:pt idx="18">
                  <c:v>78.0</c:v>
                </c:pt>
                <c:pt idx="19">
                  <c:v>79.0</c:v>
                </c:pt>
                <c:pt idx="20">
                  <c:v>80.0</c:v>
                </c:pt>
                <c:pt idx="21">
                  <c:v>81.0</c:v>
                </c:pt>
                <c:pt idx="22">
                  <c:v>82.0</c:v>
                </c:pt>
                <c:pt idx="23">
                  <c:v>83.0</c:v>
                </c:pt>
                <c:pt idx="24">
                  <c:v>84.0</c:v>
                </c:pt>
                <c:pt idx="25">
                  <c:v>85.0</c:v>
                </c:pt>
                <c:pt idx="26">
                  <c:v>86.0</c:v>
                </c:pt>
                <c:pt idx="27">
                  <c:v>87.0</c:v>
                </c:pt>
                <c:pt idx="28">
                  <c:v>88.0</c:v>
                </c:pt>
                <c:pt idx="29">
                  <c:v>89.0</c:v>
                </c:pt>
                <c:pt idx="30">
                  <c:v>90.0</c:v>
                </c:pt>
                <c:pt idx="31">
                  <c:v>91.0</c:v>
                </c:pt>
                <c:pt idx="32">
                  <c:v>92.0</c:v>
                </c:pt>
                <c:pt idx="33">
                  <c:v>93.0</c:v>
                </c:pt>
                <c:pt idx="34">
                  <c:v>94.0</c:v>
                </c:pt>
                <c:pt idx="35">
                  <c:v>95.0</c:v>
                </c:pt>
                <c:pt idx="36">
                  <c:v>96.0</c:v>
                </c:pt>
                <c:pt idx="37">
                  <c:v>97.0</c:v>
                </c:pt>
                <c:pt idx="38">
                  <c:v>98.0</c:v>
                </c:pt>
                <c:pt idx="39">
                  <c:v>99.0</c:v>
                </c:pt>
                <c:pt idx="40">
                  <c:v>100.0</c:v>
                </c:pt>
              </c:numCache>
            </c:numRef>
          </c:cat>
          <c:val>
            <c:numRef>
              <c:f>'Scen 3'!$P$55:$P$95</c:f>
              <c:numCache>
                <c:formatCode>\$#,##0</c:formatCode>
                <c:ptCount val="41"/>
                <c:pt idx="0">
                  <c:v>1.7E6</c:v>
                </c:pt>
                <c:pt idx="1">
                  <c:v>1.811124E6</c:v>
                </c:pt>
                <c:pt idx="2">
                  <c:v>1.9291155232E6</c:v>
                </c:pt>
                <c:pt idx="3">
                  <c:v>2.05434597728576E6</c:v>
                </c:pt>
                <c:pt idx="4">
                  <c:v>2.18720565205073E6</c:v>
                </c:pt>
                <c:pt idx="5">
                  <c:v>2.32810464808555E6</c:v>
                </c:pt>
                <c:pt idx="6">
                  <c:v>2.31464808410891E6</c:v>
                </c:pt>
                <c:pt idx="7">
                  <c:v>2.24561595486059E6</c:v>
                </c:pt>
                <c:pt idx="8">
                  <c:v>2.16875239217592E6</c:v>
                </c:pt>
                <c:pt idx="9">
                  <c:v>2.08355286307644E6</c:v>
                </c:pt>
                <c:pt idx="10">
                  <c:v>2.04648973544594E6</c:v>
                </c:pt>
                <c:pt idx="11">
                  <c:v>2.00437485139367E6</c:v>
                </c:pt>
                <c:pt idx="12">
                  <c:v>1.95687227265761E6</c:v>
                </c:pt>
                <c:pt idx="13">
                  <c:v>1.90362735358327E6</c:v>
                </c:pt>
                <c:pt idx="14">
                  <c:v>1.84426577605321E6</c:v>
                </c:pt>
                <c:pt idx="15">
                  <c:v>1.77839253656441E6</c:v>
                </c:pt>
                <c:pt idx="16">
                  <c:v>1.70559088313329E6</c:v>
                </c:pt>
                <c:pt idx="17">
                  <c:v>1.65569844695547E6</c:v>
                </c:pt>
                <c:pt idx="18">
                  <c:v>1.59957962207927E6</c:v>
                </c:pt>
                <c:pt idx="19">
                  <c:v>1.53682627083306E6</c:v>
                </c:pt>
                <c:pt idx="20">
                  <c:v>1.46700765242174E6</c:v>
                </c:pt>
                <c:pt idx="21">
                  <c:v>1.38966926003219E6</c:v>
                </c:pt>
                <c:pt idx="22">
                  <c:v>1.30433160036311E6</c:v>
                </c:pt>
                <c:pt idx="23">
                  <c:v>1.21048891279036E6</c:v>
                </c:pt>
                <c:pt idx="24">
                  <c:v>1.10760782524512E6</c:v>
                </c:pt>
                <c:pt idx="25">
                  <c:v>995125.9437428434</c:v>
                </c:pt>
                <c:pt idx="26">
                  <c:v>872450.3723545485</c:v>
                </c:pt>
                <c:pt idx="27">
                  <c:v>738956.1602586176</c:v>
                </c:pt>
                <c:pt idx="28">
                  <c:v>593984.6723509333</c:v>
                </c:pt>
                <c:pt idx="29">
                  <c:v>436841.8797229358</c:v>
                </c:pt>
                <c:pt idx="30">
                  <c:v>266796.5661411274</c:v>
                </c:pt>
                <c:pt idx="31">
                  <c:v>35366.37415284232</c:v>
                </c:pt>
                <c:pt idx="32">
                  <c:v>-214212.2389590052</c:v>
                </c:pt>
                <c:pt idx="33">
                  <c:v>-472983.0111638717</c:v>
                </c:pt>
                <c:pt idx="34">
                  <c:v>-739516.9065348842</c:v>
                </c:pt>
                <c:pt idx="35">
                  <c:v>-1.01404681876703E6</c:v>
                </c:pt>
                <c:pt idx="36">
                  <c:v>-1.29681262836613E6</c:v>
                </c:pt>
                <c:pt idx="37">
                  <c:v>-1.58806141225322E6</c:v>
                </c:pt>
                <c:pt idx="38">
                  <c:v>-1.88804765965691E6</c:v>
                </c:pt>
                <c:pt idx="39">
                  <c:v>-2.19703349448271E6</c:v>
                </c:pt>
                <c:pt idx="40">
                  <c:v>-2.51528890435329E6</c:v>
                </c:pt>
              </c:numCache>
            </c:numRef>
          </c:val>
        </c:ser>
        <c:marker val="1"/>
        <c:axId val="301843032"/>
        <c:axId val="265746104"/>
      </c:lineChart>
      <c:catAx>
        <c:axId val="30184303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2400" b="1" i="0"/>
            </a:pPr>
            <a:endParaRPr lang="en-US"/>
          </a:p>
        </c:txPr>
        <c:crossAx val="265746104"/>
        <c:crosses val="autoZero"/>
        <c:auto val="1"/>
        <c:lblAlgn val="ctr"/>
        <c:lblOffset val="100"/>
      </c:catAx>
      <c:valAx>
        <c:axId val="265746104"/>
        <c:scaling>
          <c:orientation val="minMax"/>
          <c:max val="2.5E6"/>
          <c:min val="0.0"/>
        </c:scaling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\$#,##0" sourceLinked="1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2400" b="1" i="0"/>
            </a:pPr>
            <a:endParaRPr lang="en-US"/>
          </a:p>
        </c:txPr>
        <c:crossAx val="30184303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/>
      <c:spPr>
        <a:noFill/>
        <a:ln w="25400">
          <a:noFill/>
        </a:ln>
      </c:spPr>
      <c:txPr>
        <a:bodyPr/>
        <a:lstStyle/>
        <a:p>
          <a:pPr>
            <a:defRPr sz="3200" b="1" i="0"/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plotArea>
      <c:layout/>
      <c:lineChart>
        <c:grouping val="standard"/>
        <c:ser>
          <c:idx val="0"/>
          <c:order val="0"/>
          <c:tx>
            <c:v>Income</c:v>
          </c:tx>
          <c:spPr>
            <a:ln w="635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numRef>
              <c:f>'Scen 4'!$B$55:$B$95</c:f>
              <c:numCache>
                <c:formatCode>General</c:formatCode>
                <c:ptCount val="41"/>
                <c:pt idx="0">
                  <c:v>60.0</c:v>
                </c:pt>
                <c:pt idx="1">
                  <c:v>61.0</c:v>
                </c:pt>
                <c:pt idx="2">
                  <c:v>62.0</c:v>
                </c:pt>
                <c:pt idx="3">
                  <c:v>63.0</c:v>
                </c:pt>
                <c:pt idx="4">
                  <c:v>64.0</c:v>
                </c:pt>
                <c:pt idx="5">
                  <c:v>65.0</c:v>
                </c:pt>
                <c:pt idx="6">
                  <c:v>66.0</c:v>
                </c:pt>
                <c:pt idx="7">
                  <c:v>67.0</c:v>
                </c:pt>
                <c:pt idx="8">
                  <c:v>68.0</c:v>
                </c:pt>
                <c:pt idx="9">
                  <c:v>69.0</c:v>
                </c:pt>
                <c:pt idx="10">
                  <c:v>70.0</c:v>
                </c:pt>
                <c:pt idx="11">
                  <c:v>71.0</c:v>
                </c:pt>
                <c:pt idx="12">
                  <c:v>72.0</c:v>
                </c:pt>
                <c:pt idx="13">
                  <c:v>73.0</c:v>
                </c:pt>
                <c:pt idx="14">
                  <c:v>74.0</c:v>
                </c:pt>
                <c:pt idx="15">
                  <c:v>75.0</c:v>
                </c:pt>
                <c:pt idx="16">
                  <c:v>76.0</c:v>
                </c:pt>
                <c:pt idx="17">
                  <c:v>77.0</c:v>
                </c:pt>
                <c:pt idx="18">
                  <c:v>78.0</c:v>
                </c:pt>
                <c:pt idx="19">
                  <c:v>79.0</c:v>
                </c:pt>
                <c:pt idx="20">
                  <c:v>80.0</c:v>
                </c:pt>
                <c:pt idx="21">
                  <c:v>81.0</c:v>
                </c:pt>
                <c:pt idx="22">
                  <c:v>82.0</c:v>
                </c:pt>
                <c:pt idx="23">
                  <c:v>83.0</c:v>
                </c:pt>
                <c:pt idx="24">
                  <c:v>84.0</c:v>
                </c:pt>
                <c:pt idx="25">
                  <c:v>85.0</c:v>
                </c:pt>
                <c:pt idx="26">
                  <c:v>86.0</c:v>
                </c:pt>
                <c:pt idx="27">
                  <c:v>87.0</c:v>
                </c:pt>
                <c:pt idx="28">
                  <c:v>88.0</c:v>
                </c:pt>
                <c:pt idx="29">
                  <c:v>89.0</c:v>
                </c:pt>
                <c:pt idx="30">
                  <c:v>90.0</c:v>
                </c:pt>
                <c:pt idx="31">
                  <c:v>91.0</c:v>
                </c:pt>
                <c:pt idx="32">
                  <c:v>92.0</c:v>
                </c:pt>
                <c:pt idx="33">
                  <c:v>93.0</c:v>
                </c:pt>
                <c:pt idx="34">
                  <c:v>94.0</c:v>
                </c:pt>
                <c:pt idx="35">
                  <c:v>95.0</c:v>
                </c:pt>
                <c:pt idx="36">
                  <c:v>96.0</c:v>
                </c:pt>
                <c:pt idx="37">
                  <c:v>97.0</c:v>
                </c:pt>
                <c:pt idx="38">
                  <c:v>98.0</c:v>
                </c:pt>
                <c:pt idx="39">
                  <c:v>99.0</c:v>
                </c:pt>
                <c:pt idx="40">
                  <c:v>100.0</c:v>
                </c:pt>
              </c:numCache>
            </c:numRef>
          </c:cat>
          <c:val>
            <c:numRef>
              <c:f>'Scen 4'!$I$55:$I$95</c:f>
              <c:numCache>
                <c:formatCode>\$#,##0</c:formatCode>
                <c:ptCount val="41"/>
                <c:pt idx="0">
                  <c:v>280000.0</c:v>
                </c:pt>
                <c:pt idx="1">
                  <c:v>318300.0</c:v>
                </c:pt>
                <c:pt idx="2">
                  <c:v>331456.44</c:v>
                </c:pt>
                <c:pt idx="3">
                  <c:v>345219.601392</c:v>
                </c:pt>
                <c:pt idx="4">
                  <c:v>359617.6087371456</c:v>
                </c:pt>
                <c:pt idx="5">
                  <c:v>374679.894726044</c:v>
                </c:pt>
                <c:pt idx="6">
                  <c:v>300972.5544686129</c:v>
                </c:pt>
                <c:pt idx="7">
                  <c:v>310586.3465948257</c:v>
                </c:pt>
                <c:pt idx="8">
                  <c:v>320569.5459565264</c:v>
                </c:pt>
                <c:pt idx="9">
                  <c:v>330926.5917985865</c:v>
                </c:pt>
                <c:pt idx="10">
                  <c:v>212082.2135974994</c:v>
                </c:pt>
                <c:pt idx="11">
                  <c:v>213279.1317369781</c:v>
                </c:pt>
                <c:pt idx="12">
                  <c:v>210790.5221653389</c:v>
                </c:pt>
                <c:pt idx="13">
                  <c:v>207854.5434776391</c:v>
                </c:pt>
                <c:pt idx="14">
                  <c:v>204440.3317336039</c:v>
                </c:pt>
                <c:pt idx="15">
                  <c:v>204364.8351430688</c:v>
                </c:pt>
                <c:pt idx="16">
                  <c:v>204039.7061886266</c:v>
                </c:pt>
                <c:pt idx="17">
                  <c:v>203445.8791019425</c:v>
                </c:pt>
                <c:pt idx="18">
                  <c:v>204379.8091890011</c:v>
                </c:pt>
                <c:pt idx="19">
                  <c:v>205099.8270924866</c:v>
                </c:pt>
                <c:pt idx="20">
                  <c:v>205588.1931188584</c:v>
                </c:pt>
                <c:pt idx="21">
                  <c:v>205826.1054988178</c:v>
                </c:pt>
                <c:pt idx="22">
                  <c:v>205793.6437264192</c:v>
                </c:pt>
                <c:pt idx="23">
                  <c:v>205469.70903778</c:v>
                </c:pt>
                <c:pt idx="24">
                  <c:v>204831.9618892614</c:v>
                </c:pt>
                <c:pt idx="25">
                  <c:v>203856.7562882476</c:v>
                </c:pt>
                <c:pt idx="26">
                  <c:v>202519.0708225834</c:v>
                </c:pt>
                <c:pt idx="27">
                  <c:v>200792.4362273275</c:v>
                </c:pt>
                <c:pt idx="28">
                  <c:v>198648.859319721</c:v>
                </c:pt>
                <c:pt idx="29">
                  <c:v>196058.7431251472</c:v>
                </c:pt>
                <c:pt idx="30">
                  <c:v>192990.8030083451</c:v>
                </c:pt>
                <c:pt idx="31">
                  <c:v>189411.9786152251</c:v>
                </c:pt>
                <c:pt idx="32">
                  <c:v>182424.6170818338</c:v>
                </c:pt>
                <c:pt idx="33">
                  <c:v>174634.6917647024</c:v>
                </c:pt>
                <c:pt idx="34">
                  <c:v>165990.3760208324</c:v>
                </c:pt>
                <c:pt idx="35">
                  <c:v>156436.9897205955</c:v>
                </c:pt>
                <c:pt idx="36">
                  <c:v>145916.8528645672</c:v>
                </c:pt>
                <c:pt idx="37">
                  <c:v>134369.1319644282</c:v>
                </c:pt>
                <c:pt idx="38">
                  <c:v>121729.6788377367</c:v>
                </c:pt>
                <c:pt idx="39">
                  <c:v>122398.0295207792</c:v>
                </c:pt>
                <c:pt idx="40">
                  <c:v>126069.9704064026</c:v>
                </c:pt>
              </c:numCache>
            </c:numRef>
          </c:val>
        </c:ser>
        <c:ser>
          <c:idx val="1"/>
          <c:order val="1"/>
          <c:tx>
            <c:v>Expenses</c:v>
          </c:tx>
          <c:spPr>
            <a:ln w="635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'Scen 4'!$B$55:$B$95</c:f>
              <c:numCache>
                <c:formatCode>General</c:formatCode>
                <c:ptCount val="41"/>
                <c:pt idx="0">
                  <c:v>60.0</c:v>
                </c:pt>
                <c:pt idx="1">
                  <c:v>61.0</c:v>
                </c:pt>
                <c:pt idx="2">
                  <c:v>62.0</c:v>
                </c:pt>
                <c:pt idx="3">
                  <c:v>63.0</c:v>
                </c:pt>
                <c:pt idx="4">
                  <c:v>64.0</c:v>
                </c:pt>
                <c:pt idx="5">
                  <c:v>65.0</c:v>
                </c:pt>
                <c:pt idx="6">
                  <c:v>66.0</c:v>
                </c:pt>
                <c:pt idx="7">
                  <c:v>67.0</c:v>
                </c:pt>
                <c:pt idx="8">
                  <c:v>68.0</c:v>
                </c:pt>
                <c:pt idx="9">
                  <c:v>69.0</c:v>
                </c:pt>
                <c:pt idx="10">
                  <c:v>70.0</c:v>
                </c:pt>
                <c:pt idx="11">
                  <c:v>71.0</c:v>
                </c:pt>
                <c:pt idx="12">
                  <c:v>72.0</c:v>
                </c:pt>
                <c:pt idx="13">
                  <c:v>73.0</c:v>
                </c:pt>
                <c:pt idx="14">
                  <c:v>74.0</c:v>
                </c:pt>
                <c:pt idx="15">
                  <c:v>75.0</c:v>
                </c:pt>
                <c:pt idx="16">
                  <c:v>76.0</c:v>
                </c:pt>
                <c:pt idx="17">
                  <c:v>77.0</c:v>
                </c:pt>
                <c:pt idx="18">
                  <c:v>78.0</c:v>
                </c:pt>
                <c:pt idx="19">
                  <c:v>79.0</c:v>
                </c:pt>
                <c:pt idx="20">
                  <c:v>80.0</c:v>
                </c:pt>
                <c:pt idx="21">
                  <c:v>81.0</c:v>
                </c:pt>
                <c:pt idx="22">
                  <c:v>82.0</c:v>
                </c:pt>
                <c:pt idx="23">
                  <c:v>83.0</c:v>
                </c:pt>
                <c:pt idx="24">
                  <c:v>84.0</c:v>
                </c:pt>
                <c:pt idx="25">
                  <c:v>85.0</c:v>
                </c:pt>
                <c:pt idx="26">
                  <c:v>86.0</c:v>
                </c:pt>
                <c:pt idx="27">
                  <c:v>87.0</c:v>
                </c:pt>
                <c:pt idx="28">
                  <c:v>88.0</c:v>
                </c:pt>
                <c:pt idx="29">
                  <c:v>89.0</c:v>
                </c:pt>
                <c:pt idx="30">
                  <c:v>90.0</c:v>
                </c:pt>
                <c:pt idx="31">
                  <c:v>91.0</c:v>
                </c:pt>
                <c:pt idx="32">
                  <c:v>92.0</c:v>
                </c:pt>
                <c:pt idx="33">
                  <c:v>93.0</c:v>
                </c:pt>
                <c:pt idx="34">
                  <c:v>94.0</c:v>
                </c:pt>
                <c:pt idx="35">
                  <c:v>95.0</c:v>
                </c:pt>
                <c:pt idx="36">
                  <c:v>96.0</c:v>
                </c:pt>
                <c:pt idx="37">
                  <c:v>97.0</c:v>
                </c:pt>
                <c:pt idx="38">
                  <c:v>98.0</c:v>
                </c:pt>
                <c:pt idx="39">
                  <c:v>99.0</c:v>
                </c:pt>
                <c:pt idx="40">
                  <c:v>100.0</c:v>
                </c:pt>
              </c:numCache>
            </c:numRef>
          </c:cat>
          <c:val>
            <c:numRef>
              <c:f>'Scen 4'!$N$55:$N$95</c:f>
              <c:numCache>
                <c:formatCode>\$#,##0</c:formatCode>
                <c:ptCount val="41"/>
                <c:pt idx="0">
                  <c:v>205000.0</c:v>
                </c:pt>
                <c:pt idx="1">
                  <c:v>207176.0</c:v>
                </c:pt>
                <c:pt idx="2">
                  <c:v>213464.9168</c:v>
                </c:pt>
                <c:pt idx="3">
                  <c:v>219989.14730624</c:v>
                </c:pt>
                <c:pt idx="4">
                  <c:v>226757.933972172</c:v>
                </c:pt>
                <c:pt idx="5">
                  <c:v>233780.8986912297</c:v>
                </c:pt>
                <c:pt idx="6">
                  <c:v>221385.8234901399</c:v>
                </c:pt>
                <c:pt idx="7">
                  <c:v>227262.122491973</c:v>
                </c:pt>
                <c:pt idx="8">
                  <c:v>233506.4201387805</c:v>
                </c:pt>
                <c:pt idx="9">
                  <c:v>239954.4038248841</c:v>
                </c:pt>
                <c:pt idx="10">
                  <c:v>218103.1572295208</c:v>
                </c:pt>
                <c:pt idx="11">
                  <c:v>281504.6245996642</c:v>
                </c:pt>
                <c:pt idx="12">
                  <c:v>287274.6269624295</c:v>
                </c:pt>
                <c:pt idx="13">
                  <c:v>293135.7330137172</c:v>
                </c:pt>
                <c:pt idx="14">
                  <c:v>234927.5985254105</c:v>
                </c:pt>
                <c:pt idx="15">
                  <c:v>239889.5110418133</c:v>
                </c:pt>
                <c:pt idx="16">
                  <c:v>244945.8600911461</c:v>
                </c:pt>
                <c:pt idx="17">
                  <c:v>219819.6845158164</c:v>
                </c:pt>
                <c:pt idx="18">
                  <c:v>225276.9968683709</c:v>
                </c:pt>
                <c:pt idx="19">
                  <c:v>230844.8039725415</c:v>
                </c:pt>
                <c:pt idx="20">
                  <c:v>236523.9297587092</c:v>
                </c:pt>
                <c:pt idx="21">
                  <c:v>242315.106300477</c:v>
                </c:pt>
                <c:pt idx="22">
                  <c:v>248218.9656032714</c:v>
                </c:pt>
                <c:pt idx="23">
                  <c:v>254236.0308912746</c:v>
                </c:pt>
                <c:pt idx="24">
                  <c:v>260366.7073656894</c:v>
                </c:pt>
                <c:pt idx="25">
                  <c:v>266611.2724059679</c:v>
                </c:pt>
                <c:pt idx="26">
                  <c:v>272969.8651841984</c:v>
                </c:pt>
                <c:pt idx="27">
                  <c:v>279442.475661339</c:v>
                </c:pt>
                <c:pt idx="28">
                  <c:v>286028.9329324054</c:v>
                </c:pt>
                <c:pt idx="29">
                  <c:v>292728.8928860612</c:v>
                </c:pt>
                <c:pt idx="30">
                  <c:v>299541.8251423205</c:v>
                </c:pt>
                <c:pt idx="31">
                  <c:v>354179.0715545115</c:v>
                </c:pt>
                <c:pt idx="32">
                  <c:v>362017.1051049402</c:v>
                </c:pt>
                <c:pt idx="33">
                  <c:v>369959.8322155794</c:v>
                </c:pt>
                <c:pt idx="34">
                  <c:v>378004.2887527484</c:v>
                </c:pt>
                <c:pt idx="35">
                  <c:v>386147.1359475413</c:v>
                </c:pt>
                <c:pt idx="36">
                  <c:v>394384.6357854854</c:v>
                </c:pt>
                <c:pt idx="37">
                  <c:v>402712.6250321132</c:v>
                </c:pt>
                <c:pt idx="38">
                  <c:v>411126.4878242392</c:v>
                </c:pt>
                <c:pt idx="39">
                  <c:v>422803.9037289067</c:v>
                </c:pt>
                <c:pt idx="40">
                  <c:v>435488.0208407738</c:v>
                </c:pt>
              </c:numCache>
            </c:numRef>
          </c:val>
        </c:ser>
        <c:ser>
          <c:idx val="2"/>
          <c:order val="2"/>
          <c:tx>
            <c:v>Portfolio</c:v>
          </c:tx>
          <c:spPr>
            <a:ln w="63500" cmpd="sng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'Scen 4'!$B$55:$B$95</c:f>
              <c:numCache>
                <c:formatCode>General</c:formatCode>
                <c:ptCount val="41"/>
                <c:pt idx="0">
                  <c:v>60.0</c:v>
                </c:pt>
                <c:pt idx="1">
                  <c:v>61.0</c:v>
                </c:pt>
                <c:pt idx="2">
                  <c:v>62.0</c:v>
                </c:pt>
                <c:pt idx="3">
                  <c:v>63.0</c:v>
                </c:pt>
                <c:pt idx="4">
                  <c:v>64.0</c:v>
                </c:pt>
                <c:pt idx="5">
                  <c:v>65.0</c:v>
                </c:pt>
                <c:pt idx="6">
                  <c:v>66.0</c:v>
                </c:pt>
                <c:pt idx="7">
                  <c:v>67.0</c:v>
                </c:pt>
                <c:pt idx="8">
                  <c:v>68.0</c:v>
                </c:pt>
                <c:pt idx="9">
                  <c:v>69.0</c:v>
                </c:pt>
                <c:pt idx="10">
                  <c:v>70.0</c:v>
                </c:pt>
                <c:pt idx="11">
                  <c:v>71.0</c:v>
                </c:pt>
                <c:pt idx="12">
                  <c:v>72.0</c:v>
                </c:pt>
                <c:pt idx="13">
                  <c:v>73.0</c:v>
                </c:pt>
                <c:pt idx="14">
                  <c:v>74.0</c:v>
                </c:pt>
                <c:pt idx="15">
                  <c:v>75.0</c:v>
                </c:pt>
                <c:pt idx="16">
                  <c:v>76.0</c:v>
                </c:pt>
                <c:pt idx="17">
                  <c:v>77.0</c:v>
                </c:pt>
                <c:pt idx="18">
                  <c:v>78.0</c:v>
                </c:pt>
                <c:pt idx="19">
                  <c:v>79.0</c:v>
                </c:pt>
                <c:pt idx="20">
                  <c:v>80.0</c:v>
                </c:pt>
                <c:pt idx="21">
                  <c:v>81.0</c:v>
                </c:pt>
                <c:pt idx="22">
                  <c:v>82.0</c:v>
                </c:pt>
                <c:pt idx="23">
                  <c:v>83.0</c:v>
                </c:pt>
                <c:pt idx="24">
                  <c:v>84.0</c:v>
                </c:pt>
                <c:pt idx="25">
                  <c:v>85.0</c:v>
                </c:pt>
                <c:pt idx="26">
                  <c:v>86.0</c:v>
                </c:pt>
                <c:pt idx="27">
                  <c:v>87.0</c:v>
                </c:pt>
                <c:pt idx="28">
                  <c:v>88.0</c:v>
                </c:pt>
                <c:pt idx="29">
                  <c:v>89.0</c:v>
                </c:pt>
                <c:pt idx="30">
                  <c:v>90.0</c:v>
                </c:pt>
                <c:pt idx="31">
                  <c:v>91.0</c:v>
                </c:pt>
                <c:pt idx="32">
                  <c:v>92.0</c:v>
                </c:pt>
                <c:pt idx="33">
                  <c:v>93.0</c:v>
                </c:pt>
                <c:pt idx="34">
                  <c:v>94.0</c:v>
                </c:pt>
                <c:pt idx="35">
                  <c:v>95.0</c:v>
                </c:pt>
                <c:pt idx="36">
                  <c:v>96.0</c:v>
                </c:pt>
                <c:pt idx="37">
                  <c:v>97.0</c:v>
                </c:pt>
                <c:pt idx="38">
                  <c:v>98.0</c:v>
                </c:pt>
                <c:pt idx="39">
                  <c:v>99.0</c:v>
                </c:pt>
                <c:pt idx="40">
                  <c:v>100.0</c:v>
                </c:pt>
              </c:numCache>
            </c:numRef>
          </c:cat>
          <c:val>
            <c:numRef>
              <c:f>'Scen 4'!$P$55:$P$95</c:f>
              <c:numCache>
                <c:formatCode>\$#,##0</c:formatCode>
                <c:ptCount val="41"/>
                <c:pt idx="0">
                  <c:v>1.7E6</c:v>
                </c:pt>
                <c:pt idx="1">
                  <c:v>1.811124E6</c:v>
                </c:pt>
                <c:pt idx="2">
                  <c:v>1.9291155232E6</c:v>
                </c:pt>
                <c:pt idx="3">
                  <c:v>2.05434597728576E6</c:v>
                </c:pt>
                <c:pt idx="4">
                  <c:v>2.18720565205073E6</c:v>
                </c:pt>
                <c:pt idx="5">
                  <c:v>2.32810464808555E6</c:v>
                </c:pt>
                <c:pt idx="6">
                  <c:v>2.40769137906402E6</c:v>
                </c:pt>
                <c:pt idx="7">
                  <c:v>2.49101560316687E6</c:v>
                </c:pt>
                <c:pt idx="8">
                  <c:v>2.57807872898462E6</c:v>
                </c:pt>
                <c:pt idx="9">
                  <c:v>2.66905091695832E6</c:v>
                </c:pt>
                <c:pt idx="10">
                  <c:v>2.6630299733263E6</c:v>
                </c:pt>
                <c:pt idx="11">
                  <c:v>2.59480448046361E6</c:v>
                </c:pt>
                <c:pt idx="12">
                  <c:v>2.51832037566652E6</c:v>
                </c:pt>
                <c:pt idx="13">
                  <c:v>2.43303918613045E6</c:v>
                </c:pt>
                <c:pt idx="14">
                  <c:v>2.40255191933864E6</c:v>
                </c:pt>
                <c:pt idx="15">
                  <c:v>2.3670272434399E6</c:v>
                </c:pt>
                <c:pt idx="16">
                  <c:v>2.32612108953738E6</c:v>
                </c:pt>
                <c:pt idx="17">
                  <c:v>2.3097472841235E6</c:v>
                </c:pt>
                <c:pt idx="18">
                  <c:v>2.28885009644413E6</c:v>
                </c:pt>
                <c:pt idx="19">
                  <c:v>2.26310511956408E6</c:v>
                </c:pt>
                <c:pt idx="20">
                  <c:v>2.23216938292423E6</c:v>
                </c:pt>
                <c:pt idx="21">
                  <c:v>2.19568038212257E6</c:v>
                </c:pt>
                <c:pt idx="22">
                  <c:v>2.15325506024572E6</c:v>
                </c:pt>
                <c:pt idx="23">
                  <c:v>2.10448873839222E6</c:v>
                </c:pt>
                <c:pt idx="24">
                  <c:v>2.04895399291579E6</c:v>
                </c:pt>
                <c:pt idx="25">
                  <c:v>1.98619947679807E6</c:v>
                </c:pt>
                <c:pt idx="26">
                  <c:v>1.91574868243646E6</c:v>
                </c:pt>
                <c:pt idx="27">
                  <c:v>1.83709864300245E6</c:v>
                </c:pt>
                <c:pt idx="28">
                  <c:v>1.74971856938976E6</c:v>
                </c:pt>
                <c:pt idx="29">
                  <c:v>1.65304841962885E6</c:v>
                </c:pt>
                <c:pt idx="30">
                  <c:v>1.54649739749487E6</c:v>
                </c:pt>
                <c:pt idx="31">
                  <c:v>1.38173030455558E6</c:v>
                </c:pt>
                <c:pt idx="32">
                  <c:v>1.20213781653248E6</c:v>
                </c:pt>
                <c:pt idx="33">
                  <c:v>1.0068126760816E6</c:v>
                </c:pt>
                <c:pt idx="34">
                  <c:v>794798.7633496854</c:v>
                </c:pt>
                <c:pt idx="35">
                  <c:v>565088.6171227396</c:v>
                </c:pt>
                <c:pt idx="36">
                  <c:v>316620.8342018213</c:v>
                </c:pt>
                <c:pt idx="37">
                  <c:v>48277.34113413637</c:v>
                </c:pt>
                <c:pt idx="38">
                  <c:v>-241119.4678523662</c:v>
                </c:pt>
                <c:pt idx="39">
                  <c:v>-541525.3420604936</c:v>
                </c:pt>
                <c:pt idx="40">
                  <c:v>-850943.392494865</c:v>
                </c:pt>
              </c:numCache>
            </c:numRef>
          </c:val>
        </c:ser>
        <c:marker val="1"/>
        <c:axId val="271586520"/>
        <c:axId val="272507816"/>
      </c:lineChart>
      <c:catAx>
        <c:axId val="27158652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2400" b="1" i="0"/>
            </a:pPr>
            <a:endParaRPr lang="en-US"/>
          </a:p>
        </c:txPr>
        <c:crossAx val="272507816"/>
        <c:crosses val="autoZero"/>
        <c:auto val="1"/>
        <c:lblAlgn val="ctr"/>
        <c:lblOffset val="100"/>
      </c:catAx>
      <c:valAx>
        <c:axId val="272507816"/>
        <c:scaling>
          <c:orientation val="minMax"/>
          <c:max val="3.0E6"/>
          <c:min val="0.0"/>
        </c:scaling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\$#,##0" sourceLinked="1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2400" b="1" i="0"/>
            </a:pPr>
            <a:endParaRPr lang="en-US"/>
          </a:p>
        </c:txPr>
        <c:crossAx val="27158652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/>
      <c:spPr>
        <a:noFill/>
        <a:ln w="25400">
          <a:noFill/>
        </a:ln>
      </c:spPr>
      <c:txPr>
        <a:bodyPr/>
        <a:lstStyle/>
        <a:p>
          <a:pPr>
            <a:defRPr sz="3200" b="1" i="0"/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/>
    <c:pageMargins b="1.0" l="0.75" r="0.75" t="1.0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plotArea>
      <c:layout/>
      <c:lineChart>
        <c:grouping val="standard"/>
        <c:ser>
          <c:idx val="0"/>
          <c:order val="0"/>
          <c:tx>
            <c:v>Income</c:v>
          </c:tx>
          <c:spPr>
            <a:ln w="635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numRef>
              <c:f>'Scen 5'!$B$55:$B$95</c:f>
              <c:numCache>
                <c:formatCode>General</c:formatCode>
                <c:ptCount val="41"/>
                <c:pt idx="0">
                  <c:v>60.0</c:v>
                </c:pt>
                <c:pt idx="1">
                  <c:v>61.0</c:v>
                </c:pt>
                <c:pt idx="2">
                  <c:v>62.0</c:v>
                </c:pt>
                <c:pt idx="3">
                  <c:v>63.0</c:v>
                </c:pt>
                <c:pt idx="4">
                  <c:v>64.0</c:v>
                </c:pt>
                <c:pt idx="5">
                  <c:v>65.0</c:v>
                </c:pt>
                <c:pt idx="6">
                  <c:v>66.0</c:v>
                </c:pt>
                <c:pt idx="7">
                  <c:v>67.0</c:v>
                </c:pt>
                <c:pt idx="8">
                  <c:v>68.0</c:v>
                </c:pt>
                <c:pt idx="9">
                  <c:v>69.0</c:v>
                </c:pt>
                <c:pt idx="10">
                  <c:v>70.0</c:v>
                </c:pt>
                <c:pt idx="11">
                  <c:v>71.0</c:v>
                </c:pt>
                <c:pt idx="12">
                  <c:v>72.0</c:v>
                </c:pt>
                <c:pt idx="13">
                  <c:v>73.0</c:v>
                </c:pt>
                <c:pt idx="14">
                  <c:v>74.0</c:v>
                </c:pt>
                <c:pt idx="15">
                  <c:v>75.0</c:v>
                </c:pt>
                <c:pt idx="16">
                  <c:v>76.0</c:v>
                </c:pt>
                <c:pt idx="17">
                  <c:v>77.0</c:v>
                </c:pt>
                <c:pt idx="18">
                  <c:v>78.0</c:v>
                </c:pt>
                <c:pt idx="19">
                  <c:v>79.0</c:v>
                </c:pt>
                <c:pt idx="20">
                  <c:v>80.0</c:v>
                </c:pt>
                <c:pt idx="21">
                  <c:v>81.0</c:v>
                </c:pt>
                <c:pt idx="22">
                  <c:v>82.0</c:v>
                </c:pt>
                <c:pt idx="23">
                  <c:v>83.0</c:v>
                </c:pt>
                <c:pt idx="24">
                  <c:v>84.0</c:v>
                </c:pt>
                <c:pt idx="25">
                  <c:v>85.0</c:v>
                </c:pt>
                <c:pt idx="26">
                  <c:v>86.0</c:v>
                </c:pt>
                <c:pt idx="27">
                  <c:v>87.0</c:v>
                </c:pt>
                <c:pt idx="28">
                  <c:v>88.0</c:v>
                </c:pt>
                <c:pt idx="29">
                  <c:v>89.0</c:v>
                </c:pt>
                <c:pt idx="30">
                  <c:v>90.0</c:v>
                </c:pt>
                <c:pt idx="31">
                  <c:v>91.0</c:v>
                </c:pt>
                <c:pt idx="32">
                  <c:v>92.0</c:v>
                </c:pt>
                <c:pt idx="33">
                  <c:v>93.0</c:v>
                </c:pt>
                <c:pt idx="34">
                  <c:v>94.0</c:v>
                </c:pt>
                <c:pt idx="35">
                  <c:v>95.0</c:v>
                </c:pt>
                <c:pt idx="36">
                  <c:v>96.0</c:v>
                </c:pt>
                <c:pt idx="37">
                  <c:v>97.0</c:v>
                </c:pt>
                <c:pt idx="38">
                  <c:v>98.0</c:v>
                </c:pt>
                <c:pt idx="39">
                  <c:v>99.0</c:v>
                </c:pt>
                <c:pt idx="40">
                  <c:v>100.0</c:v>
                </c:pt>
              </c:numCache>
            </c:numRef>
          </c:cat>
          <c:val>
            <c:numRef>
              <c:f>'Scen 5'!$I$55:$I$95</c:f>
              <c:numCache>
                <c:formatCode>\$#,##0</c:formatCode>
                <c:ptCount val="41"/>
                <c:pt idx="0">
                  <c:v>280000.0</c:v>
                </c:pt>
                <c:pt idx="1">
                  <c:v>318300.0</c:v>
                </c:pt>
                <c:pt idx="2">
                  <c:v>331456.44</c:v>
                </c:pt>
                <c:pt idx="3">
                  <c:v>345219.601392</c:v>
                </c:pt>
                <c:pt idx="4">
                  <c:v>359617.6087371456</c:v>
                </c:pt>
                <c:pt idx="5">
                  <c:v>374679.894726044</c:v>
                </c:pt>
                <c:pt idx="6">
                  <c:v>390437.2611562229</c:v>
                </c:pt>
                <c:pt idx="7">
                  <c:v>406921.9427560442</c:v>
                </c:pt>
                <c:pt idx="8">
                  <c:v>424167.6739880684</c:v>
                </c:pt>
                <c:pt idx="9">
                  <c:v>442209.7589710825</c:v>
                </c:pt>
                <c:pt idx="10">
                  <c:v>234302.7050042472</c:v>
                </c:pt>
                <c:pt idx="11">
                  <c:v>236633.1664534292</c:v>
                </c:pt>
                <c:pt idx="12">
                  <c:v>235228.2721198533</c:v>
                </c:pt>
                <c:pt idx="13">
                  <c:v>233426.4489357582</c:v>
                </c:pt>
                <c:pt idx="14">
                  <c:v>231199.1852370683</c:v>
                </c:pt>
                <c:pt idx="15">
                  <c:v>232481.3779783324</c:v>
                </c:pt>
                <c:pt idx="16">
                  <c:v>233580.6394660528</c:v>
                </c:pt>
                <c:pt idx="17">
                  <c:v>234481.1203813485</c:v>
                </c:pt>
                <c:pt idx="18">
                  <c:v>236993.9448998622</c:v>
                </c:pt>
                <c:pt idx="19">
                  <c:v>239370.5428483822</c:v>
                </c:pt>
                <c:pt idx="20">
                  <c:v>241596.9240207094</c:v>
                </c:pt>
                <c:pt idx="21">
                  <c:v>243658.215024912</c:v>
                </c:pt>
                <c:pt idx="22">
                  <c:v>245538.6110969123</c:v>
                </c:pt>
                <c:pt idx="23">
                  <c:v>247221.3254533473</c:v>
                </c:pt>
                <c:pt idx="24">
                  <c:v>248688.5360623764</c:v>
                </c:pt>
                <c:pt idx="25">
                  <c:v>249921.3297052424</c:v>
                </c:pt>
                <c:pt idx="26">
                  <c:v>250899.643195249</c:v>
                </c:pt>
                <c:pt idx="27">
                  <c:v>251602.2016143819</c:v>
                </c:pt>
                <c:pt idx="28">
                  <c:v>252006.4534210582</c:v>
                </c:pt>
                <c:pt idx="29">
                  <c:v>252088.5022754205</c:v>
                </c:pt>
                <c:pt idx="30">
                  <c:v>251823.0354211947</c:v>
                </c:pt>
                <c:pt idx="31">
                  <c:v>251183.2484553697</c:v>
                </c:pt>
                <c:pt idx="32">
                  <c:v>247282.1602391985</c:v>
                </c:pt>
                <c:pt idx="33">
                  <c:v>242728.807167194</c:v>
                </c:pt>
                <c:pt idx="34">
                  <c:v>237478.5724262838</c:v>
                </c:pt>
                <c:pt idx="35">
                  <c:v>231484.3284120089</c:v>
                </c:pt>
                <c:pt idx="36">
                  <c:v>224696.3065417512</c:v>
                </c:pt>
                <c:pt idx="37">
                  <c:v>217061.9605947673</c:v>
                </c:pt>
                <c:pt idx="38">
                  <c:v>208525.8232646703</c:v>
                </c:pt>
                <c:pt idx="39">
                  <c:v>199029.3555949469</c:v>
                </c:pt>
                <c:pt idx="40">
                  <c:v>188510.7889523251</c:v>
                </c:pt>
              </c:numCache>
            </c:numRef>
          </c:val>
        </c:ser>
        <c:ser>
          <c:idx val="1"/>
          <c:order val="1"/>
          <c:tx>
            <c:v>Expenses</c:v>
          </c:tx>
          <c:spPr>
            <a:ln w="635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'Scen 5'!$B$55:$B$95</c:f>
              <c:numCache>
                <c:formatCode>General</c:formatCode>
                <c:ptCount val="41"/>
                <c:pt idx="0">
                  <c:v>60.0</c:v>
                </c:pt>
                <c:pt idx="1">
                  <c:v>61.0</c:v>
                </c:pt>
                <c:pt idx="2">
                  <c:v>62.0</c:v>
                </c:pt>
                <c:pt idx="3">
                  <c:v>63.0</c:v>
                </c:pt>
                <c:pt idx="4">
                  <c:v>64.0</c:v>
                </c:pt>
                <c:pt idx="5">
                  <c:v>65.0</c:v>
                </c:pt>
                <c:pt idx="6">
                  <c:v>66.0</c:v>
                </c:pt>
                <c:pt idx="7">
                  <c:v>67.0</c:v>
                </c:pt>
                <c:pt idx="8">
                  <c:v>68.0</c:v>
                </c:pt>
                <c:pt idx="9">
                  <c:v>69.0</c:v>
                </c:pt>
                <c:pt idx="10">
                  <c:v>70.0</c:v>
                </c:pt>
                <c:pt idx="11">
                  <c:v>71.0</c:v>
                </c:pt>
                <c:pt idx="12">
                  <c:v>72.0</c:v>
                </c:pt>
                <c:pt idx="13">
                  <c:v>73.0</c:v>
                </c:pt>
                <c:pt idx="14">
                  <c:v>74.0</c:v>
                </c:pt>
                <c:pt idx="15">
                  <c:v>75.0</c:v>
                </c:pt>
                <c:pt idx="16">
                  <c:v>76.0</c:v>
                </c:pt>
                <c:pt idx="17">
                  <c:v>77.0</c:v>
                </c:pt>
                <c:pt idx="18">
                  <c:v>78.0</c:v>
                </c:pt>
                <c:pt idx="19">
                  <c:v>79.0</c:v>
                </c:pt>
                <c:pt idx="20">
                  <c:v>80.0</c:v>
                </c:pt>
                <c:pt idx="21">
                  <c:v>81.0</c:v>
                </c:pt>
                <c:pt idx="22">
                  <c:v>82.0</c:v>
                </c:pt>
                <c:pt idx="23">
                  <c:v>83.0</c:v>
                </c:pt>
                <c:pt idx="24">
                  <c:v>84.0</c:v>
                </c:pt>
                <c:pt idx="25">
                  <c:v>85.0</c:v>
                </c:pt>
                <c:pt idx="26">
                  <c:v>86.0</c:v>
                </c:pt>
                <c:pt idx="27">
                  <c:v>87.0</c:v>
                </c:pt>
                <c:pt idx="28">
                  <c:v>88.0</c:v>
                </c:pt>
                <c:pt idx="29">
                  <c:v>89.0</c:v>
                </c:pt>
                <c:pt idx="30">
                  <c:v>90.0</c:v>
                </c:pt>
                <c:pt idx="31">
                  <c:v>91.0</c:v>
                </c:pt>
                <c:pt idx="32">
                  <c:v>92.0</c:v>
                </c:pt>
                <c:pt idx="33">
                  <c:v>93.0</c:v>
                </c:pt>
                <c:pt idx="34">
                  <c:v>94.0</c:v>
                </c:pt>
                <c:pt idx="35">
                  <c:v>95.0</c:v>
                </c:pt>
                <c:pt idx="36">
                  <c:v>96.0</c:v>
                </c:pt>
                <c:pt idx="37">
                  <c:v>97.0</c:v>
                </c:pt>
                <c:pt idx="38">
                  <c:v>98.0</c:v>
                </c:pt>
                <c:pt idx="39">
                  <c:v>99.0</c:v>
                </c:pt>
                <c:pt idx="40">
                  <c:v>100.0</c:v>
                </c:pt>
              </c:numCache>
            </c:numRef>
          </c:cat>
          <c:val>
            <c:numRef>
              <c:f>'Scen 5'!$N$55:$N$95</c:f>
              <c:numCache>
                <c:formatCode>\$#,##0</c:formatCode>
                <c:ptCount val="41"/>
                <c:pt idx="0">
                  <c:v>205000.0</c:v>
                </c:pt>
                <c:pt idx="1">
                  <c:v>207176.0</c:v>
                </c:pt>
                <c:pt idx="2">
                  <c:v>213464.9168</c:v>
                </c:pt>
                <c:pt idx="3">
                  <c:v>219989.14730624</c:v>
                </c:pt>
                <c:pt idx="4">
                  <c:v>226757.933972172</c:v>
                </c:pt>
                <c:pt idx="5">
                  <c:v>233780.8986912297</c:v>
                </c:pt>
                <c:pt idx="6">
                  <c:v>241068.0589614141</c:v>
                </c:pt>
                <c:pt idx="7">
                  <c:v>248629.8447585861</c:v>
                </c:pt>
                <c:pt idx="8">
                  <c:v>256477.1161501991</c:v>
                </c:pt>
                <c:pt idx="9">
                  <c:v>264621.181682647</c:v>
                </c:pt>
                <c:pt idx="10">
                  <c:v>223181.6808512134</c:v>
                </c:pt>
                <c:pt idx="11">
                  <c:v>288599.6720130274</c:v>
                </c:pt>
                <c:pt idx="12">
                  <c:v>294666.8065214388</c:v>
                </c:pt>
                <c:pt idx="13">
                  <c:v>300837.9030205901</c:v>
                </c:pt>
                <c:pt idx="14">
                  <c:v>241028.4104291996</c:v>
                </c:pt>
                <c:pt idx="15">
                  <c:v>246295.430522589</c:v>
                </c:pt>
                <c:pt idx="16">
                  <c:v>251671.7538709082</c:v>
                </c:pt>
                <c:pt idx="17">
                  <c:v>226692.8152890313</c:v>
                </c:pt>
                <c:pt idx="18">
                  <c:v>232498.8457472584</c:v>
                </c:pt>
                <c:pt idx="19">
                  <c:v>238432.5026320115</c:v>
                </c:pt>
                <c:pt idx="20">
                  <c:v>244495.4359860845</c:v>
                </c:pt>
                <c:pt idx="21">
                  <c:v>250689.243388055</c:v>
                </c:pt>
                <c:pt idx="22">
                  <c:v>257015.4636063722</c:v>
                </c:pt>
                <c:pt idx="23">
                  <c:v>263475.5698397395</c:v>
                </c:pt>
                <c:pt idx="24">
                  <c:v>270070.962520926</c:v>
                </c:pt>
                <c:pt idx="25">
                  <c:v>276802.9616599726</c:v>
                </c:pt>
                <c:pt idx="26">
                  <c:v>283672.7987015186</c:v>
                </c:pt>
                <c:pt idx="27">
                  <c:v>290681.6078696848</c:v>
                </c:pt>
                <c:pt idx="28">
                  <c:v>297830.4169725892</c:v>
                </c:pt>
                <c:pt idx="29">
                  <c:v>305120.1376371476</c:v>
                </c:pt>
                <c:pt idx="30">
                  <c:v>312551.5549433145</c:v>
                </c:pt>
                <c:pt idx="31">
                  <c:v>367768.7509193433</c:v>
                </c:pt>
                <c:pt idx="32">
                  <c:v>376285.7645995605</c:v>
                </c:pt>
                <c:pt idx="33">
                  <c:v>384940.5376041276</c:v>
                </c:pt>
                <c:pt idx="34">
                  <c:v>393731.6919619477</c:v>
                </c:pt>
                <c:pt idx="35">
                  <c:v>402657.5504596522</c:v>
                </c:pt>
                <c:pt idx="36">
                  <c:v>411716.1155944659</c:v>
                </c:pt>
                <c:pt idx="37">
                  <c:v>420905.0473307878</c:v>
                </c:pt>
                <c:pt idx="38">
                  <c:v>430221.6395981646</c:v>
                </c:pt>
                <c:pt idx="39">
                  <c:v>439662.7954652236</c:v>
                </c:pt>
                <c:pt idx="40">
                  <c:v>449225.0009208769</c:v>
                </c:pt>
              </c:numCache>
            </c:numRef>
          </c:val>
        </c:ser>
        <c:ser>
          <c:idx val="2"/>
          <c:order val="2"/>
          <c:tx>
            <c:v>Portfolio</c:v>
          </c:tx>
          <c:spPr>
            <a:ln w="635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'Scen 5'!$B$55:$B$95</c:f>
              <c:numCache>
                <c:formatCode>General</c:formatCode>
                <c:ptCount val="41"/>
                <c:pt idx="0">
                  <c:v>60.0</c:v>
                </c:pt>
                <c:pt idx="1">
                  <c:v>61.0</c:v>
                </c:pt>
                <c:pt idx="2">
                  <c:v>62.0</c:v>
                </c:pt>
                <c:pt idx="3">
                  <c:v>63.0</c:v>
                </c:pt>
                <c:pt idx="4">
                  <c:v>64.0</c:v>
                </c:pt>
                <c:pt idx="5">
                  <c:v>65.0</c:v>
                </c:pt>
                <c:pt idx="6">
                  <c:v>66.0</c:v>
                </c:pt>
                <c:pt idx="7">
                  <c:v>67.0</c:v>
                </c:pt>
                <c:pt idx="8">
                  <c:v>68.0</c:v>
                </c:pt>
                <c:pt idx="9">
                  <c:v>69.0</c:v>
                </c:pt>
                <c:pt idx="10">
                  <c:v>70.0</c:v>
                </c:pt>
                <c:pt idx="11">
                  <c:v>71.0</c:v>
                </c:pt>
                <c:pt idx="12">
                  <c:v>72.0</c:v>
                </c:pt>
                <c:pt idx="13">
                  <c:v>73.0</c:v>
                </c:pt>
                <c:pt idx="14">
                  <c:v>74.0</c:v>
                </c:pt>
                <c:pt idx="15">
                  <c:v>75.0</c:v>
                </c:pt>
                <c:pt idx="16">
                  <c:v>76.0</c:v>
                </c:pt>
                <c:pt idx="17">
                  <c:v>77.0</c:v>
                </c:pt>
                <c:pt idx="18">
                  <c:v>78.0</c:v>
                </c:pt>
                <c:pt idx="19">
                  <c:v>79.0</c:v>
                </c:pt>
                <c:pt idx="20">
                  <c:v>80.0</c:v>
                </c:pt>
                <c:pt idx="21">
                  <c:v>81.0</c:v>
                </c:pt>
                <c:pt idx="22">
                  <c:v>82.0</c:v>
                </c:pt>
                <c:pt idx="23">
                  <c:v>83.0</c:v>
                </c:pt>
                <c:pt idx="24">
                  <c:v>84.0</c:v>
                </c:pt>
                <c:pt idx="25">
                  <c:v>85.0</c:v>
                </c:pt>
                <c:pt idx="26">
                  <c:v>86.0</c:v>
                </c:pt>
                <c:pt idx="27">
                  <c:v>87.0</c:v>
                </c:pt>
                <c:pt idx="28">
                  <c:v>88.0</c:v>
                </c:pt>
                <c:pt idx="29">
                  <c:v>89.0</c:v>
                </c:pt>
                <c:pt idx="30">
                  <c:v>90.0</c:v>
                </c:pt>
                <c:pt idx="31">
                  <c:v>91.0</c:v>
                </c:pt>
                <c:pt idx="32">
                  <c:v>92.0</c:v>
                </c:pt>
                <c:pt idx="33">
                  <c:v>93.0</c:v>
                </c:pt>
                <c:pt idx="34">
                  <c:v>94.0</c:v>
                </c:pt>
                <c:pt idx="35">
                  <c:v>95.0</c:v>
                </c:pt>
                <c:pt idx="36">
                  <c:v>96.0</c:v>
                </c:pt>
                <c:pt idx="37">
                  <c:v>97.0</c:v>
                </c:pt>
                <c:pt idx="38">
                  <c:v>98.0</c:v>
                </c:pt>
                <c:pt idx="39">
                  <c:v>99.0</c:v>
                </c:pt>
                <c:pt idx="40">
                  <c:v>100.0</c:v>
                </c:pt>
              </c:numCache>
            </c:numRef>
          </c:cat>
          <c:val>
            <c:numRef>
              <c:f>'Scen 5'!$P$55:$P$95</c:f>
              <c:numCache>
                <c:formatCode>\$#,##0</c:formatCode>
                <c:ptCount val="41"/>
                <c:pt idx="0">
                  <c:v>1.7E6</c:v>
                </c:pt>
                <c:pt idx="1">
                  <c:v>1.811124E6</c:v>
                </c:pt>
                <c:pt idx="2">
                  <c:v>1.9291155232E6</c:v>
                </c:pt>
                <c:pt idx="3">
                  <c:v>2.05434597728576E6</c:v>
                </c:pt>
                <c:pt idx="4">
                  <c:v>2.18720565205073E6</c:v>
                </c:pt>
                <c:pt idx="5">
                  <c:v>2.32810464808555E6</c:v>
                </c:pt>
                <c:pt idx="6">
                  <c:v>2.47747385028036E6</c:v>
                </c:pt>
                <c:pt idx="7">
                  <c:v>2.63576594827781E6</c:v>
                </c:pt>
                <c:pt idx="8">
                  <c:v>2.80345650611568E6</c:v>
                </c:pt>
                <c:pt idx="9">
                  <c:v>2.98104508340412E6</c:v>
                </c:pt>
                <c:pt idx="10">
                  <c:v>2.99216610755715E6</c:v>
                </c:pt>
                <c:pt idx="11">
                  <c:v>2.94019960199756E6</c:v>
                </c:pt>
                <c:pt idx="12">
                  <c:v>2.88076106759597E6</c:v>
                </c:pt>
                <c:pt idx="13">
                  <c:v>2.81334961351114E6</c:v>
                </c:pt>
                <c:pt idx="14">
                  <c:v>2.80352038831901E6</c:v>
                </c:pt>
                <c:pt idx="15">
                  <c:v>2.78970633577475E6</c:v>
                </c:pt>
                <c:pt idx="16">
                  <c:v>2.77161522136989E6</c:v>
                </c:pt>
                <c:pt idx="17">
                  <c:v>2.77940352646221E6</c:v>
                </c:pt>
                <c:pt idx="18">
                  <c:v>2.78389862561482E6</c:v>
                </c:pt>
                <c:pt idx="19">
                  <c:v>2.78483666583119E6</c:v>
                </c:pt>
                <c:pt idx="20">
                  <c:v>2.78193815386581E6</c:v>
                </c:pt>
                <c:pt idx="21">
                  <c:v>2.77490712550267E6</c:v>
                </c:pt>
                <c:pt idx="22">
                  <c:v>2.76343027299321E6</c:v>
                </c:pt>
                <c:pt idx="23">
                  <c:v>2.74717602860682E6</c:v>
                </c:pt>
                <c:pt idx="24">
                  <c:v>2.72579360214827E6</c:v>
                </c:pt>
                <c:pt idx="25">
                  <c:v>2.69891197019354E6</c:v>
                </c:pt>
                <c:pt idx="26">
                  <c:v>2.66613881468727E6</c:v>
                </c:pt>
                <c:pt idx="27">
                  <c:v>2.62705940843196E6</c:v>
                </c:pt>
                <c:pt idx="28">
                  <c:v>2.58123544488043E6</c:v>
                </c:pt>
                <c:pt idx="29">
                  <c:v>2.52820380951871E6</c:v>
                </c:pt>
                <c:pt idx="30">
                  <c:v>2.46747528999659E6</c:v>
                </c:pt>
                <c:pt idx="31">
                  <c:v>2.35088978753261E6</c:v>
                </c:pt>
                <c:pt idx="32">
                  <c:v>2.22188618317225E6</c:v>
                </c:pt>
                <c:pt idx="33">
                  <c:v>2.07967445273532E6</c:v>
                </c:pt>
                <c:pt idx="34">
                  <c:v>1.92342133319965E6</c:v>
                </c:pt>
                <c:pt idx="35">
                  <c:v>1.75224811115201E6</c:v>
                </c:pt>
                <c:pt idx="36">
                  <c:v>1.5652283020993E6</c:v>
                </c:pt>
                <c:pt idx="37">
                  <c:v>1.36138521536327E6</c:v>
                </c:pt>
                <c:pt idx="38">
                  <c:v>1.13968939902978E6</c:v>
                </c:pt>
                <c:pt idx="39">
                  <c:v>899055.9591595035</c:v>
                </c:pt>
                <c:pt idx="40">
                  <c:v>638341.7471909517</c:v>
                </c:pt>
              </c:numCache>
            </c:numRef>
          </c:val>
        </c:ser>
        <c:marker val="1"/>
        <c:axId val="301823208"/>
        <c:axId val="469109272"/>
      </c:lineChart>
      <c:catAx>
        <c:axId val="30182320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2400" b="1" i="0"/>
            </a:pPr>
            <a:endParaRPr lang="en-US"/>
          </a:p>
        </c:txPr>
        <c:crossAx val="469109272"/>
        <c:crosses val="autoZero"/>
        <c:auto val="1"/>
        <c:lblAlgn val="ctr"/>
        <c:lblOffset val="100"/>
      </c:catAx>
      <c:valAx>
        <c:axId val="469109272"/>
        <c:scaling>
          <c:orientation val="minMax"/>
          <c:max val="3.5E6"/>
          <c:min val="0.0"/>
        </c:scaling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\$#,##0" sourceLinked="1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2400" b="1" i="0"/>
            </a:pPr>
            <a:endParaRPr lang="en-US"/>
          </a:p>
        </c:txPr>
        <c:crossAx val="30182320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/>
      <c:spPr>
        <a:noFill/>
        <a:ln w="25400">
          <a:noFill/>
        </a:ln>
      </c:spPr>
      <c:txPr>
        <a:bodyPr/>
        <a:lstStyle/>
        <a:p>
          <a:pPr>
            <a:defRPr sz="2400" b="1" i="0"/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127000</xdr:rowOff>
    </xdr:from>
    <xdr:to>
      <xdr:col>16</xdr:col>
      <xdr:colOff>800100</xdr:colOff>
      <xdr:row>43</xdr:row>
      <xdr:rowOff>76200</xdr:rowOff>
    </xdr:to>
    <xdr:graphicFrame macro="">
      <xdr:nvGraphicFramePr>
        <xdr:cNvPr id="439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</xdr:row>
      <xdr:rowOff>101600</xdr:rowOff>
    </xdr:from>
    <xdr:to>
      <xdr:col>16</xdr:col>
      <xdr:colOff>977900</xdr:colOff>
      <xdr:row>43</xdr:row>
      <xdr:rowOff>50800</xdr:rowOff>
    </xdr:to>
    <xdr:graphicFrame macro="">
      <xdr:nvGraphicFramePr>
        <xdr:cNvPr id="2895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127000</xdr:rowOff>
    </xdr:from>
    <xdr:to>
      <xdr:col>16</xdr:col>
      <xdr:colOff>939800</xdr:colOff>
      <xdr:row>43</xdr:row>
      <xdr:rowOff>76200</xdr:rowOff>
    </xdr:to>
    <xdr:graphicFrame macro="">
      <xdr:nvGraphicFramePr>
        <xdr:cNvPr id="3202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127000</xdr:rowOff>
    </xdr:from>
    <xdr:to>
      <xdr:col>16</xdr:col>
      <xdr:colOff>952500</xdr:colOff>
      <xdr:row>43</xdr:row>
      <xdr:rowOff>76200</xdr:rowOff>
    </xdr:to>
    <xdr:graphicFrame macro="">
      <xdr:nvGraphicFramePr>
        <xdr:cNvPr id="33048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127000</xdr:rowOff>
    </xdr:from>
    <xdr:to>
      <xdr:col>16</xdr:col>
      <xdr:colOff>965200</xdr:colOff>
      <xdr:row>43</xdr:row>
      <xdr:rowOff>76200</xdr:rowOff>
    </xdr:to>
    <xdr:graphicFrame macro="">
      <xdr:nvGraphicFramePr>
        <xdr:cNvPr id="3407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S77"/>
  <sheetViews>
    <sheetView tabSelected="1" zoomScale="125" zoomScaleNormal="150" zoomScalePageLayoutView="150" workbookViewId="0">
      <selection sqref="A1:H1"/>
    </sheetView>
  </sheetViews>
  <sheetFormatPr baseColWidth="10" defaultRowHeight="13"/>
  <cols>
    <col min="1" max="3" width="5.7109375" customWidth="1"/>
    <col min="11" max="13" width="5.7109375" customWidth="1"/>
  </cols>
  <sheetData>
    <row r="1" spans="1:8" ht="20">
      <c r="A1" s="115" t="s">
        <v>10</v>
      </c>
      <c r="B1" s="115"/>
      <c r="C1" s="115"/>
      <c r="D1" s="115"/>
      <c r="E1" s="115"/>
      <c r="F1" s="115"/>
      <c r="G1" s="115"/>
      <c r="H1" s="115"/>
    </row>
    <row r="3" spans="1:8">
      <c r="B3" s="54" t="s">
        <v>153</v>
      </c>
    </row>
    <row r="4" spans="1:8" s="54" customFormat="1"/>
    <row r="5" spans="1:8">
      <c r="B5" s="54" t="s">
        <v>154</v>
      </c>
    </row>
    <row r="6" spans="1:8" s="21" customFormat="1">
      <c r="A6" s="54"/>
      <c r="B6" s="54"/>
      <c r="C6" s="54" t="s">
        <v>155</v>
      </c>
      <c r="D6" s="54"/>
      <c r="E6" s="54"/>
      <c r="F6" s="54"/>
      <c r="G6" s="54"/>
      <c r="H6" s="54"/>
    </row>
    <row r="7" spans="1:8" s="21" customFormat="1">
      <c r="A7" s="54"/>
      <c r="B7" s="54"/>
      <c r="C7" s="54" t="s">
        <v>6</v>
      </c>
      <c r="D7" s="54"/>
      <c r="E7" s="54"/>
      <c r="F7" s="54"/>
      <c r="G7" s="113">
        <f>'Scen 1'!A71</f>
        <v>2035</v>
      </c>
      <c r="H7" s="54"/>
    </row>
    <row r="8" spans="1:8" s="21" customFormat="1">
      <c r="A8" s="54"/>
      <c r="B8" s="54"/>
      <c r="C8" s="54"/>
      <c r="D8" s="54"/>
      <c r="E8" s="54"/>
      <c r="F8" s="54"/>
      <c r="G8" s="54"/>
      <c r="H8" s="54"/>
    </row>
    <row r="9" spans="1:8" s="22" customFormat="1">
      <c r="A9" s="54"/>
      <c r="B9" s="54" t="s">
        <v>156</v>
      </c>
      <c r="C9" s="54"/>
      <c r="D9" s="54"/>
      <c r="E9" s="54"/>
      <c r="F9" s="54"/>
      <c r="G9" s="54"/>
      <c r="H9" s="54"/>
    </row>
    <row r="10" spans="1:8" s="22" customFormat="1">
      <c r="A10" s="54"/>
      <c r="B10" s="54"/>
      <c r="C10" s="54"/>
      <c r="D10" s="54"/>
      <c r="E10" s="54"/>
      <c r="F10" s="54"/>
      <c r="G10" s="54"/>
      <c r="H10" s="54"/>
    </row>
    <row r="11" spans="1:8" s="22" customFormat="1">
      <c r="A11" s="54"/>
      <c r="B11" s="54" t="s">
        <v>157</v>
      </c>
      <c r="C11" s="54"/>
      <c r="D11" s="54"/>
      <c r="E11" s="54"/>
      <c r="F11" s="54"/>
      <c r="G11" s="54"/>
      <c r="H11" s="54"/>
    </row>
    <row r="12" spans="1:8" s="22" customFormat="1">
      <c r="A12" s="54"/>
      <c r="B12" s="54"/>
      <c r="C12" s="54" t="s">
        <v>144</v>
      </c>
      <c r="D12" s="54"/>
      <c r="E12" s="54"/>
      <c r="F12" s="54"/>
      <c r="G12" s="54"/>
      <c r="H12" s="54"/>
    </row>
    <row r="13" spans="1:8" s="22" customFormat="1">
      <c r="A13" s="54"/>
      <c r="B13" s="54"/>
      <c r="C13" s="54"/>
      <c r="D13" s="54"/>
      <c r="E13" s="54"/>
      <c r="F13" s="54"/>
      <c r="G13" s="54"/>
      <c r="H13" s="54"/>
    </row>
    <row r="14" spans="1:8" s="22" customFormat="1">
      <c r="A14" s="54"/>
      <c r="B14" s="54" t="s">
        <v>158</v>
      </c>
      <c r="C14" s="54"/>
      <c r="D14" s="54"/>
      <c r="E14" s="54"/>
      <c r="F14" s="54"/>
      <c r="G14" s="54"/>
      <c r="H14" s="54"/>
    </row>
    <row r="15" spans="1:8" s="22" customFormat="1">
      <c r="A15" s="54"/>
      <c r="B15" s="54"/>
      <c r="C15" s="54" t="s">
        <v>143</v>
      </c>
      <c r="D15" s="54"/>
      <c r="E15" s="54"/>
      <c r="F15" s="54"/>
      <c r="G15" s="54"/>
      <c r="H15" s="54"/>
    </row>
    <row r="16" spans="1:8" s="22" customFormat="1">
      <c r="A16" s="54"/>
      <c r="B16" s="54"/>
      <c r="C16" s="54"/>
      <c r="D16" s="54"/>
      <c r="E16" s="54"/>
      <c r="F16" s="54"/>
      <c r="G16" s="54"/>
      <c r="H16" s="54"/>
    </row>
    <row r="17" spans="1:19" s="22" customFormat="1">
      <c r="B17" s="54" t="s">
        <v>192</v>
      </c>
    </row>
    <row r="18" spans="1:19" s="22" customFormat="1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</row>
    <row r="19" spans="1:19">
      <c r="B19" s="54" t="s">
        <v>193</v>
      </c>
    </row>
    <row r="20" spans="1:19" s="54" customFormat="1"/>
    <row r="21" spans="1:19" s="54" customFormat="1"/>
    <row r="22" spans="1:19" s="54" customFormat="1" ht="16">
      <c r="A22" s="94" t="s">
        <v>159</v>
      </c>
      <c r="K22" s="94" t="s">
        <v>194</v>
      </c>
      <c r="L22"/>
      <c r="M22"/>
      <c r="N22"/>
      <c r="O22"/>
      <c r="P22"/>
      <c r="Q22"/>
      <c r="R22"/>
      <c r="S22"/>
    </row>
    <row r="23" spans="1:19" s="54" customFormat="1">
      <c r="B23" s="93" t="s">
        <v>140</v>
      </c>
      <c r="K23"/>
      <c r="L23" s="54" t="s">
        <v>195</v>
      </c>
      <c r="M23"/>
      <c r="N23"/>
      <c r="O23"/>
      <c r="P23"/>
      <c r="Q23"/>
      <c r="R23"/>
      <c r="S23"/>
    </row>
    <row r="24" spans="1:19" s="54" customFormat="1">
      <c r="C24" s="54" t="s">
        <v>160</v>
      </c>
      <c r="K24"/>
      <c r="L24"/>
      <c r="M24" s="93" t="s">
        <v>196</v>
      </c>
      <c r="N24"/>
      <c r="O24"/>
      <c r="P24"/>
      <c r="Q24"/>
      <c r="R24"/>
      <c r="S24"/>
    </row>
    <row r="25" spans="1:19" s="54" customFormat="1">
      <c r="C25" s="54" t="s">
        <v>161</v>
      </c>
      <c r="K25"/>
      <c r="L25"/>
      <c r="M25"/>
      <c r="N25" s="54" t="s">
        <v>197</v>
      </c>
      <c r="O25"/>
      <c r="P25"/>
      <c r="Q25"/>
      <c r="R25"/>
      <c r="S25"/>
    </row>
    <row r="26" spans="1:19" s="54" customFormat="1">
      <c r="C26" s="54" t="s">
        <v>162</v>
      </c>
      <c r="K26"/>
      <c r="L26"/>
      <c r="M26"/>
      <c r="N26"/>
      <c r="O26"/>
      <c r="P26"/>
      <c r="Q26"/>
      <c r="R26"/>
      <c r="S26"/>
    </row>
    <row r="27" spans="1:19" s="21" customFormat="1">
      <c r="A27" s="54"/>
      <c r="B27" s="54"/>
      <c r="C27" s="54"/>
      <c r="D27" s="54"/>
      <c r="E27" s="54"/>
      <c r="F27" s="54"/>
      <c r="G27" s="54"/>
      <c r="H27" s="54"/>
      <c r="I27" s="54"/>
      <c r="J27" s="54"/>
      <c r="K27"/>
      <c r="L27"/>
      <c r="M27" s="93" t="s">
        <v>180</v>
      </c>
      <c r="N27"/>
      <c r="O27"/>
      <c r="P27"/>
      <c r="Q27"/>
      <c r="R27"/>
      <c r="S27"/>
    </row>
    <row r="28" spans="1:19" s="54" customFormat="1">
      <c r="B28" s="54" t="s">
        <v>166</v>
      </c>
      <c r="K28"/>
      <c r="L28"/>
      <c r="M28"/>
      <c r="N28" s="54" t="s">
        <v>198</v>
      </c>
      <c r="O28"/>
      <c r="P28"/>
      <c r="Q28"/>
      <c r="R28"/>
      <c r="S28"/>
    </row>
    <row r="29" spans="1:19" s="21" customFormat="1">
      <c r="A29" s="54"/>
      <c r="B29" s="54"/>
      <c r="C29" s="54" t="s">
        <v>163</v>
      </c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</row>
    <row r="30" spans="1:19" s="21" customFormat="1">
      <c r="A30" s="54"/>
      <c r="B30" s="54"/>
      <c r="C30" s="54"/>
      <c r="D30" s="54"/>
      <c r="E30" s="54"/>
      <c r="F30" s="54"/>
      <c r="G30" s="54"/>
      <c r="H30" s="54"/>
      <c r="I30" s="54"/>
      <c r="J30" s="54"/>
      <c r="K30"/>
      <c r="L30"/>
      <c r="M30" s="93" t="s">
        <v>3</v>
      </c>
      <c r="N30"/>
      <c r="O30"/>
      <c r="P30"/>
      <c r="Q30"/>
      <c r="R30"/>
      <c r="S30"/>
    </row>
    <row r="31" spans="1:19" s="21" customFormat="1">
      <c r="A31" s="54"/>
      <c r="B31" s="54" t="s">
        <v>164</v>
      </c>
      <c r="C31" s="54"/>
      <c r="D31" s="54"/>
      <c r="E31" s="54"/>
      <c r="F31" s="54"/>
      <c r="G31" s="54"/>
      <c r="H31" s="54"/>
      <c r="I31" s="54"/>
      <c r="J31" s="54"/>
      <c r="K31"/>
      <c r="L31"/>
      <c r="M31"/>
      <c r="N31" s="54" t="s">
        <v>201</v>
      </c>
      <c r="O31"/>
      <c r="P31"/>
      <c r="Q31"/>
      <c r="R31"/>
      <c r="S31"/>
    </row>
    <row r="32" spans="1:19" s="21" customFormat="1">
      <c r="A32" s="54"/>
      <c r="B32" s="54"/>
      <c r="C32" s="54" t="s">
        <v>145</v>
      </c>
      <c r="D32" s="54"/>
      <c r="E32" s="54"/>
      <c r="F32" s="54"/>
      <c r="G32" s="54"/>
      <c r="H32" s="54"/>
      <c r="I32" s="54"/>
      <c r="J32" s="54"/>
      <c r="K32"/>
      <c r="L32"/>
      <c r="M32"/>
      <c r="N32"/>
      <c r="O32"/>
      <c r="P32"/>
      <c r="Q32"/>
      <c r="R32"/>
      <c r="S32"/>
    </row>
    <row r="33" spans="1:19" s="54" customFormat="1">
      <c r="K33"/>
      <c r="L33"/>
      <c r="M33" s="93" t="s">
        <v>202</v>
      </c>
      <c r="N33"/>
      <c r="O33"/>
      <c r="P33"/>
      <c r="Q33"/>
      <c r="R33"/>
      <c r="S33"/>
    </row>
    <row r="34" spans="1:19" s="54" customFormat="1">
      <c r="B34" s="93" t="s">
        <v>141</v>
      </c>
      <c r="K34"/>
      <c r="L34"/>
      <c r="M34"/>
      <c r="N34" s="54" t="s">
        <v>182</v>
      </c>
      <c r="O34"/>
      <c r="P34"/>
      <c r="Q34"/>
      <c r="R34"/>
      <c r="S34"/>
    </row>
    <row r="35" spans="1:19" s="54" customFormat="1">
      <c r="C35" s="54" t="s">
        <v>137</v>
      </c>
      <c r="K35"/>
      <c r="L35"/>
      <c r="M35"/>
      <c r="N35" s="54" t="s">
        <v>183</v>
      </c>
      <c r="O35"/>
      <c r="P35"/>
      <c r="Q35"/>
      <c r="R35"/>
      <c r="S35"/>
    </row>
    <row r="36" spans="1:19" s="54" customFormat="1">
      <c r="K36"/>
      <c r="L36"/>
      <c r="M36"/>
      <c r="N36"/>
      <c r="O36"/>
      <c r="P36"/>
      <c r="Q36"/>
      <c r="R36"/>
      <c r="S36"/>
    </row>
    <row r="37" spans="1:19" s="54" customFormat="1">
      <c r="B37" s="54" t="s">
        <v>166</v>
      </c>
      <c r="K37"/>
      <c r="L37"/>
      <c r="M37" s="93" t="s">
        <v>184</v>
      </c>
      <c r="N37"/>
      <c r="O37"/>
      <c r="P37"/>
      <c r="Q37"/>
      <c r="R37"/>
      <c r="S37"/>
    </row>
    <row r="38" spans="1:19" s="54" customFormat="1">
      <c r="C38" s="54" t="s">
        <v>138</v>
      </c>
      <c r="K38"/>
      <c r="L38"/>
      <c r="M38"/>
      <c r="N38" s="54" t="s">
        <v>185</v>
      </c>
      <c r="O38"/>
      <c r="P38"/>
      <c r="Q38"/>
      <c r="R38"/>
      <c r="S38"/>
    </row>
    <row r="39" spans="1:19" s="54" customFormat="1">
      <c r="K39"/>
      <c r="L39"/>
      <c r="M39"/>
      <c r="N39"/>
      <c r="O39"/>
      <c r="P39"/>
      <c r="Q39"/>
      <c r="R39"/>
      <c r="S39"/>
    </row>
    <row r="40" spans="1:19" s="54" customFormat="1">
      <c r="B40" s="54" t="s">
        <v>139</v>
      </c>
      <c r="K40"/>
      <c r="L40"/>
      <c r="M40"/>
      <c r="N40"/>
      <c r="O40"/>
      <c r="P40"/>
      <c r="Q40"/>
      <c r="R40"/>
      <c r="S40"/>
    </row>
    <row r="41" spans="1:19" s="54" customFormat="1">
      <c r="C41" s="54" t="s">
        <v>142</v>
      </c>
      <c r="K41"/>
      <c r="L41"/>
      <c r="M41" s="93" t="s">
        <v>181</v>
      </c>
      <c r="N41"/>
      <c r="O41"/>
      <c r="P41"/>
      <c r="Q41"/>
      <c r="R41"/>
      <c r="S41"/>
    </row>
    <row r="42" spans="1:19" s="54" customFormat="1">
      <c r="K42"/>
      <c r="L42"/>
      <c r="M42"/>
      <c r="N42" s="54" t="s">
        <v>186</v>
      </c>
      <c r="O42"/>
      <c r="P42"/>
      <c r="Q42"/>
      <c r="R42"/>
      <c r="S42"/>
    </row>
    <row r="43" spans="1:19" s="54" customFormat="1">
      <c r="K43"/>
      <c r="L43"/>
      <c r="M43"/>
      <c r="N43"/>
      <c r="O43" s="54" t="s">
        <v>177</v>
      </c>
      <c r="P43"/>
      <c r="Q43"/>
      <c r="R43"/>
      <c r="S43"/>
    </row>
    <row r="44" spans="1:19" s="54" customFormat="1" ht="16">
      <c r="A44" s="94" t="s">
        <v>167</v>
      </c>
      <c r="K44"/>
      <c r="L44"/>
      <c r="M44"/>
      <c r="N44"/>
      <c r="O44"/>
      <c r="P44"/>
      <c r="Q44"/>
      <c r="R44"/>
      <c r="S44"/>
    </row>
    <row r="45" spans="1:19" s="54" customFormat="1">
      <c r="B45" s="93" t="s">
        <v>148</v>
      </c>
      <c r="K45"/>
      <c r="L45"/>
      <c r="M45"/>
      <c r="N45" s="54" t="s">
        <v>187</v>
      </c>
      <c r="O45"/>
      <c r="P45"/>
      <c r="Q45"/>
      <c r="R45"/>
      <c r="S45"/>
    </row>
    <row r="46" spans="1:19">
      <c r="C46" s="54" t="s">
        <v>146</v>
      </c>
    </row>
    <row r="47" spans="1:19">
      <c r="C47" s="54" t="s">
        <v>147</v>
      </c>
      <c r="N47" s="54" t="s">
        <v>188</v>
      </c>
    </row>
    <row r="49" spans="1:14">
      <c r="B49" s="93" t="s">
        <v>149</v>
      </c>
      <c r="N49" s="54" t="s">
        <v>189</v>
      </c>
    </row>
    <row r="50" spans="1:14">
      <c r="C50" s="54" t="s">
        <v>150</v>
      </c>
    </row>
    <row r="51" spans="1:14">
      <c r="C51" s="54" t="s">
        <v>151</v>
      </c>
      <c r="N51" s="54" t="s">
        <v>190</v>
      </c>
    </row>
    <row r="52" spans="1:14">
      <c r="A52" s="25"/>
      <c r="B52" s="25"/>
      <c r="C52" s="90" t="s">
        <v>152</v>
      </c>
      <c r="D52" s="25"/>
      <c r="E52" s="25"/>
      <c r="F52" s="25"/>
      <c r="G52" s="25"/>
    </row>
    <row r="53" spans="1:14">
      <c r="C53" s="54" t="s">
        <v>31</v>
      </c>
      <c r="N53" s="54" t="s">
        <v>191</v>
      </c>
    </row>
    <row r="54" spans="1:14">
      <c r="D54" s="54" t="s">
        <v>32</v>
      </c>
    </row>
    <row r="55" spans="1:14">
      <c r="D55" s="54" t="s">
        <v>168</v>
      </c>
    </row>
    <row r="58" spans="1:14" ht="16">
      <c r="A58" s="94" t="s">
        <v>7</v>
      </c>
    </row>
    <row r="59" spans="1:14">
      <c r="B59" s="54" t="s">
        <v>63</v>
      </c>
    </row>
    <row r="60" spans="1:14">
      <c r="B60" s="54" t="s">
        <v>128</v>
      </c>
    </row>
    <row r="62" spans="1:14">
      <c r="B62" s="93" t="s">
        <v>8</v>
      </c>
    </row>
    <row r="63" spans="1:14">
      <c r="C63" s="54" t="s">
        <v>135</v>
      </c>
    </row>
    <row r="64" spans="1:14">
      <c r="C64" s="54" t="s">
        <v>176</v>
      </c>
    </row>
    <row r="65" spans="3:19">
      <c r="C65" s="54" t="s">
        <v>77</v>
      </c>
    </row>
    <row r="66" spans="3:19">
      <c r="C66" s="54" t="s">
        <v>136</v>
      </c>
    </row>
    <row r="67" spans="3:19">
      <c r="C67" s="54" t="s">
        <v>179</v>
      </c>
      <c r="S67" s="48" t="s">
        <v>174</v>
      </c>
    </row>
    <row r="77" spans="3:19" s="54" customFormat="1"/>
  </sheetData>
  <sheetCalcPr fullCalcOnLoad="1"/>
  <mergeCells count="1">
    <mergeCell ref="A1:H1"/>
  </mergeCells>
  <phoneticPr fontId="2" type="noConversion"/>
  <pageMargins left="1.5" right="0.5" top="0.75" bottom="0.25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G50"/>
  <sheetViews>
    <sheetView zoomScale="125" workbookViewId="0">
      <selection sqref="A1:G1"/>
    </sheetView>
  </sheetViews>
  <sheetFormatPr baseColWidth="10" defaultRowHeight="13"/>
  <cols>
    <col min="1" max="2" width="5.7109375" customWidth="1"/>
    <col min="3" max="3" width="15.7109375" customWidth="1"/>
    <col min="5" max="5" width="5.7109375" customWidth="1"/>
  </cols>
  <sheetData>
    <row r="1" spans="1:7" ht="16">
      <c r="A1" s="117" t="s">
        <v>4</v>
      </c>
      <c r="B1" s="117"/>
      <c r="C1" s="117"/>
      <c r="D1" s="117"/>
      <c r="E1" s="117"/>
      <c r="F1" s="117"/>
      <c r="G1" s="117"/>
    </row>
    <row r="2" spans="1:7">
      <c r="A2" s="37"/>
      <c r="B2" s="37"/>
      <c r="C2" s="37"/>
      <c r="D2" s="37"/>
      <c r="E2" s="37"/>
      <c r="F2" s="37"/>
      <c r="G2" s="37"/>
    </row>
    <row r="3" spans="1:7">
      <c r="A3" s="25"/>
      <c r="B3" s="25"/>
      <c r="C3" s="25"/>
      <c r="D3" s="25"/>
      <c r="E3" s="25"/>
      <c r="F3" s="25"/>
      <c r="G3" s="25"/>
    </row>
    <row r="4" spans="1:7">
      <c r="A4" s="118" t="s">
        <v>123</v>
      </c>
      <c r="B4" s="118"/>
      <c r="C4" s="118"/>
      <c r="D4" s="40"/>
      <c r="E4" s="25"/>
      <c r="F4" s="25"/>
      <c r="G4" s="40"/>
    </row>
    <row r="5" spans="1:7">
      <c r="A5" s="27"/>
      <c r="B5" s="25"/>
      <c r="C5" s="25"/>
      <c r="D5" s="40"/>
      <c r="E5" s="25"/>
      <c r="F5" s="25"/>
      <c r="G5" s="40"/>
    </row>
    <row r="6" spans="1:7">
      <c r="A6" s="27"/>
      <c r="B6" s="118" t="s">
        <v>127</v>
      </c>
      <c r="C6" s="118"/>
      <c r="D6" s="118"/>
      <c r="E6" s="118"/>
      <c r="F6" s="25"/>
      <c r="G6" s="40"/>
    </row>
    <row r="7" spans="1:7">
      <c r="A7" s="27"/>
      <c r="B7" s="27"/>
      <c r="C7" s="116" t="s">
        <v>83</v>
      </c>
      <c r="D7" s="116"/>
      <c r="E7" s="25"/>
      <c r="F7" s="40">
        <v>1000</v>
      </c>
      <c r="G7" s="40"/>
    </row>
    <row r="8" spans="1:7">
      <c r="A8" s="27"/>
      <c r="B8" s="27"/>
      <c r="C8" s="116" t="s">
        <v>75</v>
      </c>
      <c r="D8" s="116"/>
      <c r="E8" s="25"/>
      <c r="F8" s="40">
        <v>24000</v>
      </c>
      <c r="G8" s="40"/>
    </row>
    <row r="9" spans="1:7">
      <c r="A9" s="27"/>
      <c r="B9" s="27"/>
      <c r="C9" s="116" t="s">
        <v>41</v>
      </c>
      <c r="D9" s="116"/>
      <c r="E9" s="25"/>
      <c r="F9" s="45">
        <v>50000</v>
      </c>
      <c r="G9" s="40"/>
    </row>
    <row r="10" spans="1:7">
      <c r="A10" s="27"/>
      <c r="B10" s="27"/>
      <c r="C10" s="25"/>
      <c r="D10" s="40"/>
      <c r="E10" s="25"/>
      <c r="F10" s="46" t="s">
        <v>108</v>
      </c>
      <c r="G10" s="40">
        <f>SUM(F7:F9)</f>
        <v>75000</v>
      </c>
    </row>
    <row r="11" spans="1:7">
      <c r="A11" s="27"/>
      <c r="B11" s="118" t="s">
        <v>34</v>
      </c>
      <c r="C11" s="118"/>
      <c r="D11" s="40"/>
      <c r="E11" s="25"/>
      <c r="F11" s="40"/>
      <c r="G11" s="40"/>
    </row>
    <row r="12" spans="1:7">
      <c r="A12" s="27"/>
      <c r="B12" s="25"/>
      <c r="C12" s="116" t="s">
        <v>35</v>
      </c>
      <c r="D12" s="116"/>
      <c r="E12" s="116"/>
      <c r="F12" s="116"/>
      <c r="G12" s="40">
        <v>80000</v>
      </c>
    </row>
    <row r="13" spans="1:7">
      <c r="A13" s="27"/>
      <c r="B13" s="25"/>
      <c r="C13" s="25"/>
      <c r="D13" s="40"/>
      <c r="E13" s="25"/>
      <c r="F13" s="25"/>
      <c r="G13" s="40"/>
    </row>
    <row r="14" spans="1:7">
      <c r="A14" s="27"/>
      <c r="B14" s="118" t="s">
        <v>36</v>
      </c>
      <c r="C14" s="118"/>
      <c r="D14" s="40"/>
      <c r="E14" s="25"/>
      <c r="F14" s="25"/>
      <c r="G14" s="40"/>
    </row>
    <row r="15" spans="1:7">
      <c r="A15" s="27"/>
      <c r="B15" s="25"/>
      <c r="C15" s="116" t="s">
        <v>60</v>
      </c>
      <c r="D15" s="116"/>
      <c r="E15" s="116"/>
      <c r="F15" s="116"/>
      <c r="G15" s="40">
        <v>150000</v>
      </c>
    </row>
    <row r="16" spans="1:7">
      <c r="A16" s="27"/>
      <c r="B16" s="25"/>
      <c r="C16" s="25"/>
      <c r="D16" s="40"/>
      <c r="E16" s="25"/>
      <c r="F16" s="25"/>
      <c r="G16" s="40"/>
    </row>
    <row r="17" spans="1:7">
      <c r="A17" s="27"/>
      <c r="B17" s="118" t="s">
        <v>2</v>
      </c>
      <c r="C17" s="118"/>
      <c r="D17" s="40"/>
      <c r="E17" s="25"/>
      <c r="F17" s="40"/>
      <c r="G17" s="40"/>
    </row>
    <row r="18" spans="1:7">
      <c r="A18" s="27"/>
      <c r="B18" s="25"/>
      <c r="C18" s="116" t="s">
        <v>42</v>
      </c>
      <c r="D18" s="116"/>
      <c r="E18" s="25"/>
      <c r="F18" s="41">
        <v>30000</v>
      </c>
      <c r="G18" s="40"/>
    </row>
    <row r="19" spans="1:7">
      <c r="A19" s="68"/>
      <c r="B19" s="67"/>
      <c r="C19" s="67" t="s">
        <v>33</v>
      </c>
      <c r="D19" s="67"/>
      <c r="E19" s="67"/>
      <c r="F19" s="41">
        <v>100000</v>
      </c>
      <c r="G19" s="70"/>
    </row>
    <row r="20" spans="1:7">
      <c r="A20" s="68"/>
      <c r="B20" s="67"/>
      <c r="C20" s="67" t="s">
        <v>92</v>
      </c>
      <c r="D20" s="67"/>
      <c r="E20" s="67"/>
      <c r="F20" s="42">
        <v>495000</v>
      </c>
      <c r="G20" s="70"/>
    </row>
    <row r="21" spans="1:7">
      <c r="A21" s="68"/>
      <c r="B21" s="54"/>
      <c r="C21" s="54"/>
      <c r="D21" s="54"/>
      <c r="E21" s="54"/>
      <c r="F21" s="46" t="s">
        <v>108</v>
      </c>
      <c r="G21" s="70">
        <f>SUM(F18:F20)</f>
        <v>625000</v>
      </c>
    </row>
    <row r="22" spans="1:7">
      <c r="A22" s="68"/>
      <c r="B22" s="54"/>
      <c r="C22" s="54"/>
      <c r="D22" s="54"/>
      <c r="E22" s="54"/>
      <c r="F22" s="54"/>
      <c r="G22" s="54"/>
    </row>
    <row r="23" spans="1:7">
      <c r="A23" s="68"/>
      <c r="B23" s="118" t="s">
        <v>37</v>
      </c>
      <c r="C23" s="118"/>
      <c r="D23" s="40"/>
      <c r="E23" s="25"/>
      <c r="F23" s="25"/>
      <c r="G23" s="40"/>
    </row>
    <row r="24" spans="1:7">
      <c r="A24" s="68"/>
      <c r="B24" s="25"/>
      <c r="C24" s="116" t="s">
        <v>38</v>
      </c>
      <c r="D24" s="116"/>
      <c r="E24" s="3"/>
      <c r="F24" s="82">
        <v>60000</v>
      </c>
      <c r="G24" s="70"/>
    </row>
    <row r="25" spans="1:7">
      <c r="A25" s="68"/>
      <c r="B25" s="67"/>
      <c r="C25" s="67" t="s">
        <v>39</v>
      </c>
      <c r="D25" s="67"/>
      <c r="E25" s="3"/>
      <c r="F25" s="83">
        <v>250000</v>
      </c>
      <c r="G25" s="70"/>
    </row>
    <row r="26" spans="1:7">
      <c r="A26" s="27"/>
      <c r="B26" s="25"/>
      <c r="C26" s="25"/>
      <c r="D26" s="25"/>
      <c r="E26" s="25"/>
      <c r="F26" s="41" t="s">
        <v>108</v>
      </c>
      <c r="G26" s="70">
        <f>SUM(F24:F25)</f>
        <v>310000</v>
      </c>
    </row>
    <row r="27" spans="1:7">
      <c r="A27" s="68"/>
      <c r="B27" s="67"/>
      <c r="C27" s="67"/>
      <c r="D27" s="67"/>
      <c r="E27" s="67"/>
      <c r="F27" s="46"/>
      <c r="G27" s="70"/>
    </row>
    <row r="28" spans="1:7">
      <c r="A28" s="27"/>
      <c r="B28" s="118" t="s">
        <v>124</v>
      </c>
      <c r="C28" s="118"/>
      <c r="D28" s="118"/>
      <c r="E28" s="25"/>
      <c r="F28" s="25"/>
      <c r="G28" s="40"/>
    </row>
    <row r="29" spans="1:7">
      <c r="A29" s="27"/>
      <c r="B29" s="25"/>
      <c r="C29" s="116" t="s">
        <v>126</v>
      </c>
      <c r="D29" s="116"/>
      <c r="E29" s="116"/>
      <c r="F29" s="116"/>
      <c r="G29" s="40">
        <v>460000</v>
      </c>
    </row>
    <row r="30" spans="1:7">
      <c r="A30" s="27"/>
      <c r="B30" s="25"/>
      <c r="C30" s="25"/>
      <c r="D30" s="25"/>
      <c r="E30" s="25"/>
      <c r="F30" s="25"/>
      <c r="G30" s="25"/>
    </row>
    <row r="31" spans="1:7">
      <c r="A31" s="27"/>
      <c r="B31" s="25"/>
      <c r="C31" s="120" t="s">
        <v>69</v>
      </c>
      <c r="D31" s="120"/>
      <c r="E31" s="120"/>
      <c r="F31" s="120"/>
      <c r="G31" s="71">
        <f>SUM(G6:G29)</f>
        <v>1700000</v>
      </c>
    </row>
    <row r="32" spans="1:7">
      <c r="A32" s="74"/>
      <c r="B32" s="75"/>
      <c r="C32" s="76"/>
      <c r="D32" s="76"/>
      <c r="E32" s="76"/>
      <c r="F32" s="76"/>
      <c r="G32" s="79"/>
    </row>
    <row r="33" spans="1:7">
      <c r="A33" s="74"/>
      <c r="B33" s="75"/>
      <c r="C33" s="76"/>
      <c r="D33" s="76"/>
      <c r="E33" s="76"/>
      <c r="F33" s="76"/>
      <c r="G33" s="79"/>
    </row>
    <row r="34" spans="1:7">
      <c r="A34" s="118" t="s">
        <v>61</v>
      </c>
      <c r="B34" s="118"/>
      <c r="C34" s="118"/>
      <c r="D34" s="25"/>
      <c r="E34" s="25"/>
      <c r="F34" s="25"/>
      <c r="G34" s="25"/>
    </row>
    <row r="35" spans="1:7">
      <c r="A35" s="27"/>
      <c r="B35" s="119" t="s">
        <v>89</v>
      </c>
      <c r="C35" s="119"/>
      <c r="D35" s="119"/>
      <c r="E35" s="25"/>
      <c r="F35" s="119" t="s">
        <v>90</v>
      </c>
      <c r="G35" s="119"/>
    </row>
    <row r="36" spans="1:7">
      <c r="A36" s="25"/>
      <c r="B36" s="116" t="s">
        <v>82</v>
      </c>
      <c r="C36" s="116"/>
      <c r="D36" s="40">
        <v>1000000</v>
      </c>
      <c r="E36" s="25"/>
      <c r="F36" s="67" t="s">
        <v>40</v>
      </c>
      <c r="G36" s="40">
        <v>500000</v>
      </c>
    </row>
    <row r="37" spans="1:7">
      <c r="A37" s="25"/>
      <c r="B37" s="116" t="s">
        <v>133</v>
      </c>
      <c r="C37" s="116"/>
      <c r="D37" s="40">
        <v>25000</v>
      </c>
      <c r="E37" s="25"/>
      <c r="F37" s="25" t="s">
        <v>78</v>
      </c>
      <c r="G37" s="40">
        <v>10000</v>
      </c>
    </row>
    <row r="38" spans="1:7">
      <c r="A38" s="25"/>
      <c r="B38" s="116" t="s">
        <v>81</v>
      </c>
      <c r="C38" s="116"/>
      <c r="D38" s="40">
        <v>45000</v>
      </c>
      <c r="E38" s="25"/>
      <c r="F38" s="25" t="s">
        <v>79</v>
      </c>
      <c r="G38" s="40">
        <v>20000</v>
      </c>
    </row>
    <row r="39" spans="1:7">
      <c r="A39" s="25"/>
      <c r="B39" s="116" t="s">
        <v>80</v>
      </c>
      <c r="C39" s="116"/>
      <c r="D39" s="43">
        <v>10000</v>
      </c>
      <c r="E39" s="25"/>
      <c r="F39" s="25" t="s">
        <v>79</v>
      </c>
      <c r="G39" s="43">
        <v>0</v>
      </c>
    </row>
    <row r="40" spans="1:7">
      <c r="A40" s="25"/>
      <c r="B40" s="116" t="s">
        <v>70</v>
      </c>
      <c r="C40" s="116"/>
      <c r="D40" s="40">
        <f>SUM(D36:D39)</f>
        <v>1080000</v>
      </c>
      <c r="E40" s="25"/>
      <c r="F40" s="25" t="s">
        <v>71</v>
      </c>
      <c r="G40" s="56">
        <f>SUM(G36:G39)</f>
        <v>530000</v>
      </c>
    </row>
    <row r="41" spans="1:7">
      <c r="A41" s="25"/>
      <c r="B41" s="25"/>
      <c r="C41" s="25"/>
      <c r="D41" s="40"/>
      <c r="E41" s="25"/>
      <c r="F41" s="25"/>
      <c r="G41" s="56"/>
    </row>
    <row r="42" spans="1:7">
      <c r="A42" s="25"/>
      <c r="B42" s="25"/>
      <c r="C42" s="120" t="s">
        <v>122</v>
      </c>
      <c r="D42" s="120"/>
      <c r="E42" s="120"/>
      <c r="F42" s="120"/>
      <c r="G42" s="71">
        <f>D40-G40</f>
        <v>550000</v>
      </c>
    </row>
    <row r="43" spans="1:7">
      <c r="A43" s="74"/>
      <c r="B43" s="75"/>
      <c r="C43" s="76"/>
      <c r="D43" s="76"/>
      <c r="E43" s="76"/>
      <c r="F43" s="76"/>
      <c r="G43" s="79"/>
    </row>
    <row r="44" spans="1:7">
      <c r="A44" s="74"/>
      <c r="B44" s="75"/>
      <c r="C44" s="76"/>
      <c r="D44" s="76"/>
      <c r="E44" s="76"/>
      <c r="F44" s="76"/>
      <c r="G44" s="79"/>
    </row>
    <row r="45" spans="1:7">
      <c r="A45" s="25"/>
      <c r="B45" s="25"/>
      <c r="C45" s="120" t="s">
        <v>125</v>
      </c>
      <c r="D45" s="120"/>
      <c r="E45" s="120"/>
      <c r="F45" s="120"/>
      <c r="G45" s="71">
        <f>G42+G31</f>
        <v>2250000</v>
      </c>
    </row>
    <row r="46" spans="1:7">
      <c r="A46" s="25"/>
      <c r="B46" s="25"/>
      <c r="C46" s="25"/>
      <c r="D46" s="24"/>
      <c r="E46" s="24"/>
      <c r="F46" s="24"/>
      <c r="G46" s="44"/>
    </row>
    <row r="47" spans="1:7">
      <c r="A47" s="25"/>
      <c r="B47" s="25"/>
      <c r="C47" s="25"/>
      <c r="D47" s="24"/>
      <c r="E47" s="24"/>
      <c r="F47" s="24"/>
      <c r="G47" s="44"/>
    </row>
    <row r="48" spans="1:7">
      <c r="A48" s="47"/>
      <c r="B48" s="55"/>
      <c r="C48" s="55"/>
      <c r="D48" s="55"/>
      <c r="E48" s="55"/>
      <c r="G48" s="48" t="s">
        <v>174</v>
      </c>
    </row>
    <row r="49" spans="1:7">
      <c r="A49" s="25"/>
      <c r="B49" s="25"/>
      <c r="C49" s="25"/>
      <c r="D49" s="25"/>
      <c r="E49" s="25"/>
      <c r="F49" s="25"/>
      <c r="G49" s="25"/>
    </row>
    <row r="50" spans="1:7">
      <c r="A50" s="121"/>
      <c r="B50" s="121"/>
      <c r="C50" s="121"/>
      <c r="D50" s="122"/>
      <c r="E50" s="122"/>
      <c r="F50" s="122"/>
      <c r="G50" s="122"/>
    </row>
  </sheetData>
  <sheetCalcPr fullCalcOnLoad="1"/>
  <mergeCells count="28">
    <mergeCell ref="A50:G50"/>
    <mergeCell ref="A4:C4"/>
    <mergeCell ref="B6:E6"/>
    <mergeCell ref="C7:D7"/>
    <mergeCell ref="C8:D8"/>
    <mergeCell ref="C12:F12"/>
    <mergeCell ref="B14:C14"/>
    <mergeCell ref="C15:F15"/>
    <mergeCell ref="C9:D9"/>
    <mergeCell ref="B11:C11"/>
    <mergeCell ref="C45:F45"/>
    <mergeCell ref="B38:C38"/>
    <mergeCell ref="B39:C39"/>
    <mergeCell ref="B40:C40"/>
    <mergeCell ref="C42:F42"/>
    <mergeCell ref="B36:C36"/>
    <mergeCell ref="B37:C37"/>
    <mergeCell ref="A1:G1"/>
    <mergeCell ref="A34:C34"/>
    <mergeCell ref="B35:D35"/>
    <mergeCell ref="F35:G35"/>
    <mergeCell ref="B23:C23"/>
    <mergeCell ref="C24:D24"/>
    <mergeCell ref="B17:C17"/>
    <mergeCell ref="C18:D18"/>
    <mergeCell ref="B28:D28"/>
    <mergeCell ref="C29:F29"/>
    <mergeCell ref="C31:F31"/>
  </mergeCells>
  <phoneticPr fontId="2" type="noConversion"/>
  <pageMargins left="0.75" right="0.75" top="1" bottom="1" header="0.5" footer="0.5"/>
  <colBreaks count="1" manualBreakCount="1">
    <brk id="7" max="1048575" man="1"/>
  </colBreaks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J63"/>
  <sheetViews>
    <sheetView zoomScale="125" workbookViewId="0">
      <selection sqref="A1:H1"/>
    </sheetView>
  </sheetViews>
  <sheetFormatPr baseColWidth="10" defaultRowHeight="13"/>
  <cols>
    <col min="1" max="1" width="4.7109375" customWidth="1"/>
    <col min="2" max="2" width="19.42578125" customWidth="1"/>
    <col min="3" max="3" width="8.7109375" customWidth="1"/>
    <col min="4" max="5" width="4.7109375" customWidth="1"/>
    <col min="6" max="6" width="17.85546875" customWidth="1"/>
    <col min="7" max="7" width="8.7109375" customWidth="1"/>
    <col min="8" max="8" width="4.7109375" customWidth="1"/>
  </cols>
  <sheetData>
    <row r="1" spans="1:10" ht="16">
      <c r="A1" s="117" t="s">
        <v>5</v>
      </c>
      <c r="B1" s="117"/>
      <c r="C1" s="117"/>
      <c r="D1" s="117"/>
      <c r="E1" s="117"/>
      <c r="F1" s="117"/>
      <c r="G1" s="117"/>
      <c r="H1" s="117"/>
    </row>
    <row r="2" spans="1:10" ht="16">
      <c r="A2" s="123" t="s">
        <v>0</v>
      </c>
      <c r="B2" s="123"/>
      <c r="C2" s="123"/>
      <c r="D2" s="123"/>
      <c r="E2" s="123"/>
      <c r="F2" s="123"/>
      <c r="G2" s="123"/>
      <c r="H2" s="25"/>
    </row>
    <row r="3" spans="1:10">
      <c r="A3" s="27" t="s">
        <v>44</v>
      </c>
      <c r="B3" s="25"/>
      <c r="C3" s="25"/>
      <c r="D3" s="25"/>
      <c r="E3" s="25"/>
      <c r="F3" s="25"/>
      <c r="G3" s="25"/>
      <c r="H3" s="25"/>
    </row>
    <row r="4" spans="1:10">
      <c r="A4" s="25"/>
      <c r="B4" s="67" t="s">
        <v>93</v>
      </c>
      <c r="C4" s="25"/>
      <c r="D4" s="25"/>
      <c r="E4" s="25"/>
      <c r="F4" s="25"/>
      <c r="G4" s="1">
        <v>120000</v>
      </c>
      <c r="H4" s="25"/>
    </row>
    <row r="5" spans="1:10">
      <c r="A5" s="25"/>
      <c r="B5" s="67" t="s">
        <v>94</v>
      </c>
      <c r="C5" s="25"/>
      <c r="D5" s="25"/>
      <c r="E5" s="25"/>
      <c r="F5" s="25"/>
      <c r="G5" s="1">
        <v>90000</v>
      </c>
      <c r="H5" s="25"/>
    </row>
    <row r="6" spans="1:10">
      <c r="A6" s="25"/>
      <c r="B6" s="25" t="s">
        <v>68</v>
      </c>
      <c r="C6" s="25"/>
      <c r="D6" s="25"/>
      <c r="E6" s="25"/>
      <c r="F6" s="25"/>
      <c r="G6" s="1">
        <v>0</v>
      </c>
      <c r="H6" s="25"/>
    </row>
    <row r="7" spans="1:10" s="18" customFormat="1">
      <c r="A7" s="25"/>
      <c r="B7" s="25" t="s">
        <v>118</v>
      </c>
      <c r="C7" s="25"/>
      <c r="D7" s="25"/>
      <c r="E7" s="25"/>
      <c r="F7" s="25"/>
      <c r="G7" s="19">
        <v>70000</v>
      </c>
      <c r="H7" s="25"/>
      <c r="I7" s="54"/>
      <c r="J7" s="54"/>
    </row>
    <row r="8" spans="1:10">
      <c r="A8" s="25"/>
      <c r="B8" s="25"/>
      <c r="C8" s="120" t="s">
        <v>119</v>
      </c>
      <c r="D8" s="120"/>
      <c r="E8" s="120"/>
      <c r="F8" s="120"/>
      <c r="G8" s="28">
        <f>SUM(G4:G7)</f>
        <v>280000</v>
      </c>
      <c r="H8" s="63">
        <f>G8/$G$48</f>
        <v>1</v>
      </c>
      <c r="I8" s="52"/>
      <c r="J8" s="52"/>
    </row>
    <row r="9" spans="1:10">
      <c r="A9" s="25"/>
      <c r="B9" s="25"/>
      <c r="C9" s="25"/>
      <c r="D9" s="25"/>
      <c r="E9" s="25"/>
      <c r="F9" s="20"/>
      <c r="G9" s="20"/>
      <c r="H9" s="25"/>
      <c r="I9" s="52"/>
      <c r="J9" s="52"/>
    </row>
    <row r="10" spans="1:10">
      <c r="A10" s="27" t="s">
        <v>120</v>
      </c>
      <c r="B10" s="25"/>
      <c r="C10" s="25"/>
      <c r="D10" s="25"/>
      <c r="E10" s="25"/>
      <c r="F10" s="20"/>
      <c r="G10" s="20"/>
      <c r="H10" s="25"/>
      <c r="I10" s="52"/>
      <c r="J10" s="52"/>
    </row>
    <row r="11" spans="1:10">
      <c r="A11" s="116" t="s">
        <v>105</v>
      </c>
      <c r="B11" s="116"/>
      <c r="C11" s="20"/>
      <c r="D11" s="29"/>
      <c r="E11" s="26" t="s">
        <v>65</v>
      </c>
      <c r="F11" s="25"/>
      <c r="G11" s="25"/>
      <c r="H11" s="25"/>
      <c r="I11" s="52"/>
      <c r="J11" s="52"/>
    </row>
    <row r="12" spans="1:10">
      <c r="A12" s="25"/>
      <c r="B12" s="25" t="s">
        <v>46</v>
      </c>
      <c r="C12" s="20">
        <v>24000</v>
      </c>
      <c r="D12" s="29"/>
      <c r="E12" s="25"/>
      <c r="F12" s="20" t="s">
        <v>66</v>
      </c>
      <c r="G12" s="20">
        <v>0</v>
      </c>
      <c r="H12" s="25"/>
      <c r="I12" s="52"/>
      <c r="J12" s="52"/>
    </row>
    <row r="13" spans="1:10">
      <c r="A13" s="25"/>
      <c r="B13" s="67" t="s">
        <v>97</v>
      </c>
      <c r="C13" s="111">
        <v>22000</v>
      </c>
      <c r="D13" s="29"/>
      <c r="E13" s="25"/>
      <c r="F13" s="20" t="s">
        <v>67</v>
      </c>
      <c r="G13" s="20">
        <v>12000</v>
      </c>
      <c r="H13" s="25"/>
      <c r="I13" s="112"/>
      <c r="J13" s="52"/>
    </row>
    <row r="14" spans="1:10">
      <c r="A14" s="25"/>
      <c r="B14" s="25" t="s">
        <v>121</v>
      </c>
      <c r="C14" s="20">
        <v>2000</v>
      </c>
      <c r="D14" s="29"/>
      <c r="E14" s="33"/>
      <c r="F14" s="70" t="s">
        <v>98</v>
      </c>
      <c r="G14" s="110">
        <v>63000</v>
      </c>
      <c r="H14" s="25"/>
      <c r="I14" s="52"/>
      <c r="J14" s="52"/>
    </row>
    <row r="15" spans="1:10">
      <c r="A15" s="25"/>
      <c r="B15" s="25" t="s">
        <v>87</v>
      </c>
      <c r="C15" s="20">
        <v>7000</v>
      </c>
      <c r="D15" s="29"/>
      <c r="E15" s="53"/>
      <c r="F15" s="60" t="s">
        <v>49</v>
      </c>
      <c r="G15" s="60">
        <f>SUM(G12:G14)</f>
        <v>75000</v>
      </c>
      <c r="H15" s="64">
        <f>G15/$G$48</f>
        <v>0.26785714285714285</v>
      </c>
      <c r="I15" s="52"/>
      <c r="J15" s="52"/>
    </row>
    <row r="16" spans="1:10">
      <c r="A16" s="31"/>
      <c r="B16" s="25" t="s">
        <v>88</v>
      </c>
      <c r="C16" s="20">
        <v>5000</v>
      </c>
      <c r="D16" s="29"/>
      <c r="E16" s="33"/>
      <c r="F16" s="20"/>
      <c r="G16" s="30"/>
      <c r="H16" s="25"/>
      <c r="I16" s="52"/>
      <c r="J16" s="52"/>
    </row>
    <row r="17" spans="1:10">
      <c r="A17" s="25"/>
      <c r="B17" s="25" t="s">
        <v>106</v>
      </c>
      <c r="C17" s="30">
        <v>2000</v>
      </c>
      <c r="D17" s="29"/>
      <c r="E17" s="126" t="s">
        <v>59</v>
      </c>
      <c r="F17" s="127"/>
      <c r="G17" s="20"/>
      <c r="H17" s="25"/>
      <c r="I17" s="52"/>
      <c r="J17" s="52"/>
    </row>
    <row r="18" spans="1:10">
      <c r="A18" s="25"/>
      <c r="B18" s="25" t="s">
        <v>49</v>
      </c>
      <c r="C18" s="20">
        <f>SUM(C12:C17)</f>
        <v>62000</v>
      </c>
      <c r="D18" s="32">
        <f>C18/$G$48</f>
        <v>0.22142857142857142</v>
      </c>
      <c r="E18" s="20"/>
      <c r="F18" s="20" t="s">
        <v>50</v>
      </c>
      <c r="G18" s="20">
        <v>600</v>
      </c>
      <c r="H18" s="25"/>
      <c r="I18" s="52"/>
      <c r="J18" s="52"/>
    </row>
    <row r="19" spans="1:10">
      <c r="A19" s="25"/>
      <c r="B19" s="25"/>
      <c r="C19" s="20"/>
      <c r="D19" s="29"/>
      <c r="E19" s="20"/>
      <c r="F19" s="20" t="s">
        <v>76</v>
      </c>
      <c r="G19" s="20">
        <v>3000</v>
      </c>
      <c r="H19" s="25"/>
      <c r="I19" s="52"/>
      <c r="J19" s="52"/>
    </row>
    <row r="20" spans="1:10">
      <c r="A20" s="25" t="s">
        <v>112</v>
      </c>
      <c r="B20" s="25"/>
      <c r="C20" s="20"/>
      <c r="D20" s="29"/>
      <c r="E20" s="20"/>
      <c r="F20" s="20" t="s">
        <v>130</v>
      </c>
      <c r="G20" s="20">
        <v>1000</v>
      </c>
      <c r="H20" s="25"/>
      <c r="I20" s="52"/>
      <c r="J20" s="52"/>
    </row>
    <row r="21" spans="1:10">
      <c r="A21" s="25"/>
      <c r="B21" s="25" t="s">
        <v>107</v>
      </c>
      <c r="C21" s="20">
        <v>1000</v>
      </c>
      <c r="D21" s="29"/>
      <c r="E21" s="20"/>
      <c r="F21" s="20" t="s">
        <v>132</v>
      </c>
      <c r="G21" s="59">
        <v>5400</v>
      </c>
      <c r="H21" s="25"/>
      <c r="I21" s="52"/>
      <c r="J21" s="52"/>
    </row>
    <row r="22" spans="1:10">
      <c r="A22" s="25"/>
      <c r="B22" s="25" t="s">
        <v>169</v>
      </c>
      <c r="C22" s="20">
        <v>1000</v>
      </c>
      <c r="D22" s="29"/>
      <c r="E22" s="20"/>
      <c r="F22" s="20" t="s">
        <v>64</v>
      </c>
      <c r="G22" s="20">
        <f>SUM(G18:G21)</f>
        <v>10000</v>
      </c>
      <c r="H22" s="64">
        <f>G22/$G$48</f>
        <v>3.5714285714285712E-2</v>
      </c>
      <c r="I22" s="52"/>
      <c r="J22" s="52"/>
    </row>
    <row r="23" spans="1:10">
      <c r="A23" s="25"/>
      <c r="B23" s="25" t="s">
        <v>171</v>
      </c>
      <c r="C23" s="1">
        <v>500</v>
      </c>
      <c r="D23" s="29"/>
      <c r="E23" s="25"/>
      <c r="F23" s="25"/>
      <c r="G23" s="25"/>
      <c r="H23" s="25"/>
      <c r="I23" s="52"/>
      <c r="J23" s="52"/>
    </row>
    <row r="24" spans="1:10">
      <c r="A24" s="25"/>
      <c r="B24" s="25" t="s">
        <v>170</v>
      </c>
      <c r="C24" s="30">
        <v>1500</v>
      </c>
      <c r="D24" s="29"/>
      <c r="E24" s="124" t="s">
        <v>172</v>
      </c>
      <c r="F24" s="125"/>
      <c r="G24" s="20"/>
      <c r="H24" s="25"/>
      <c r="I24" s="52"/>
      <c r="J24" s="52"/>
    </row>
    <row r="25" spans="1:10">
      <c r="A25" s="25"/>
      <c r="B25" s="25" t="s">
        <v>49</v>
      </c>
      <c r="C25" s="20">
        <f>SUM(C21:C24)</f>
        <v>4000</v>
      </c>
      <c r="D25" s="38">
        <f>C25/$G$48</f>
        <v>1.4285714285714285E-2</v>
      </c>
      <c r="E25" s="25"/>
      <c r="F25" s="25" t="s">
        <v>74</v>
      </c>
      <c r="G25" s="20">
        <v>5000</v>
      </c>
      <c r="H25" s="25"/>
      <c r="I25" s="52"/>
      <c r="J25" s="52"/>
    </row>
    <row r="26" spans="1:10">
      <c r="A26" s="25"/>
      <c r="B26" s="25"/>
      <c r="C26" s="20"/>
      <c r="D26" s="29"/>
      <c r="E26" s="25"/>
      <c r="F26" s="67" t="s">
        <v>99</v>
      </c>
      <c r="G26" s="20">
        <v>2000</v>
      </c>
      <c r="H26" s="25"/>
      <c r="I26" s="52"/>
      <c r="J26" s="52"/>
    </row>
    <row r="27" spans="1:10">
      <c r="A27" s="25" t="s">
        <v>113</v>
      </c>
      <c r="B27" s="25"/>
      <c r="C27" s="20"/>
      <c r="D27" s="29"/>
      <c r="E27" s="25"/>
      <c r="F27" s="67" t="s">
        <v>100</v>
      </c>
      <c r="G27" s="20">
        <v>1500</v>
      </c>
      <c r="H27" s="25"/>
      <c r="I27" s="52"/>
      <c r="J27" s="52"/>
    </row>
    <row r="28" spans="1:10">
      <c r="A28" s="31"/>
      <c r="B28" s="25" t="s">
        <v>109</v>
      </c>
      <c r="C28" s="20">
        <v>3000</v>
      </c>
      <c r="D28" s="29"/>
      <c r="E28" s="25"/>
      <c r="F28" s="25" t="s">
        <v>55</v>
      </c>
      <c r="G28" s="20">
        <v>3000</v>
      </c>
      <c r="H28" s="25"/>
      <c r="I28" s="52"/>
      <c r="J28" s="52"/>
    </row>
    <row r="29" spans="1:10">
      <c r="A29" s="31"/>
      <c r="B29" s="25" t="s">
        <v>56</v>
      </c>
      <c r="C29" s="20">
        <v>1000</v>
      </c>
      <c r="D29" s="29"/>
      <c r="E29" s="25"/>
      <c r="F29" s="67" t="s">
        <v>101</v>
      </c>
      <c r="G29" s="30">
        <v>2500</v>
      </c>
      <c r="H29" s="25"/>
      <c r="I29" s="52"/>
      <c r="J29" s="52"/>
    </row>
    <row r="30" spans="1:10">
      <c r="A30" s="25"/>
      <c r="B30" s="25" t="s">
        <v>57</v>
      </c>
      <c r="C30" s="1">
        <v>500</v>
      </c>
      <c r="D30" s="29"/>
      <c r="E30" s="25"/>
      <c r="F30" s="20" t="s">
        <v>49</v>
      </c>
      <c r="G30" s="20">
        <f>SUM(G25:G29)</f>
        <v>14000</v>
      </c>
      <c r="H30" s="64">
        <f>G30/$G$48</f>
        <v>0.05</v>
      </c>
      <c r="I30" s="52"/>
      <c r="J30" s="52"/>
    </row>
    <row r="31" spans="1:10">
      <c r="A31" s="25"/>
      <c r="B31" s="25" t="s">
        <v>58</v>
      </c>
      <c r="C31" s="19">
        <v>1500</v>
      </c>
      <c r="D31" s="29"/>
      <c r="E31" s="25"/>
      <c r="F31" s="25"/>
      <c r="G31" s="25"/>
      <c r="H31" s="25"/>
      <c r="I31" s="52"/>
      <c r="J31" s="52"/>
    </row>
    <row r="32" spans="1:10">
      <c r="A32" s="25"/>
      <c r="B32" s="25" t="s">
        <v>49</v>
      </c>
      <c r="C32" s="20">
        <f>SUM(C28:C31)</f>
        <v>6000</v>
      </c>
      <c r="D32" s="38">
        <f>C32/$G$48</f>
        <v>2.1428571428571429E-2</v>
      </c>
      <c r="E32" s="60" t="s">
        <v>116</v>
      </c>
      <c r="F32" s="60"/>
      <c r="G32" s="60"/>
      <c r="H32" s="60"/>
      <c r="I32" s="52"/>
      <c r="J32" s="52"/>
    </row>
    <row r="33" spans="1:10">
      <c r="A33" s="25"/>
      <c r="B33" s="25"/>
      <c r="C33" s="20"/>
      <c r="D33" s="29"/>
      <c r="E33" s="60"/>
      <c r="F33" s="60" t="s">
        <v>48</v>
      </c>
      <c r="G33" s="60">
        <v>5400</v>
      </c>
      <c r="H33" s="60"/>
      <c r="I33" s="52"/>
      <c r="J33" s="52"/>
    </row>
    <row r="34" spans="1:10">
      <c r="A34" s="116" t="s">
        <v>114</v>
      </c>
      <c r="B34" s="116"/>
      <c r="C34" s="20"/>
      <c r="D34" s="29"/>
      <c r="E34" s="60"/>
      <c r="F34" s="60" t="s">
        <v>85</v>
      </c>
      <c r="G34" s="60">
        <v>3600</v>
      </c>
      <c r="H34" s="60"/>
      <c r="I34" s="52"/>
      <c r="J34" s="52"/>
    </row>
    <row r="35" spans="1:10">
      <c r="A35" s="25"/>
      <c r="B35" s="25" t="s">
        <v>129</v>
      </c>
      <c r="C35" s="20">
        <v>12000</v>
      </c>
      <c r="D35" s="29"/>
      <c r="E35" s="60"/>
      <c r="F35" s="60" t="s">
        <v>86</v>
      </c>
      <c r="G35" s="42">
        <v>1000</v>
      </c>
      <c r="H35" s="60"/>
      <c r="I35" s="52"/>
      <c r="J35" s="52"/>
    </row>
    <row r="36" spans="1:10">
      <c r="A36" s="25"/>
      <c r="B36" s="25" t="s">
        <v>131</v>
      </c>
      <c r="C36" s="20">
        <v>1000</v>
      </c>
      <c r="D36" s="29"/>
      <c r="E36" s="60"/>
      <c r="F36" s="60" t="s">
        <v>49</v>
      </c>
      <c r="G36" s="60">
        <f>SUM(G33:G35)</f>
        <v>10000</v>
      </c>
      <c r="H36" s="64">
        <f>G36/$G$48</f>
        <v>3.5714285714285712E-2</v>
      </c>
      <c r="I36" s="52"/>
      <c r="J36" s="52"/>
    </row>
    <row r="37" spans="1:10">
      <c r="A37" s="25"/>
      <c r="B37" s="25" t="s">
        <v>1</v>
      </c>
      <c r="C37" s="20">
        <v>1000</v>
      </c>
      <c r="D37" s="29"/>
      <c r="I37" s="52"/>
      <c r="J37" s="52"/>
    </row>
    <row r="38" spans="1:10">
      <c r="A38" s="25"/>
      <c r="B38" s="67" t="s">
        <v>95</v>
      </c>
      <c r="C38" s="19">
        <v>2000</v>
      </c>
      <c r="D38" s="29"/>
      <c r="E38" s="58" t="s">
        <v>45</v>
      </c>
      <c r="F38" s="61"/>
      <c r="G38" s="60"/>
      <c r="H38" s="57"/>
      <c r="I38" s="52"/>
      <c r="J38" s="52"/>
    </row>
    <row r="39" spans="1:10">
      <c r="A39" s="25"/>
      <c r="B39" s="25" t="s">
        <v>49</v>
      </c>
      <c r="C39" s="1">
        <f>SUM(C35:C38)</f>
        <v>16000</v>
      </c>
      <c r="D39" s="38">
        <f>C39/$G$48</f>
        <v>5.7142857142857141E-2</v>
      </c>
      <c r="E39" s="33"/>
      <c r="F39" s="60" t="s">
        <v>47</v>
      </c>
      <c r="G39" s="60">
        <v>600</v>
      </c>
      <c r="H39" s="57"/>
      <c r="I39" s="52"/>
      <c r="J39" s="52"/>
    </row>
    <row r="40" spans="1:10">
      <c r="A40" s="25"/>
      <c r="B40" s="25"/>
      <c r="C40" s="20"/>
      <c r="D40" s="29"/>
      <c r="E40" s="34"/>
      <c r="F40" s="67" t="s">
        <v>102</v>
      </c>
      <c r="G40" s="60">
        <v>360</v>
      </c>
      <c r="H40" s="57"/>
      <c r="I40" s="52"/>
      <c r="J40" s="52"/>
    </row>
    <row r="41" spans="1:10">
      <c r="A41" s="128" t="s">
        <v>115</v>
      </c>
      <c r="B41" s="128"/>
      <c r="C41" s="20"/>
      <c r="D41" s="29"/>
      <c r="E41" s="34"/>
      <c r="F41" s="70" t="s">
        <v>103</v>
      </c>
      <c r="G41" s="60">
        <v>480</v>
      </c>
      <c r="H41" s="57"/>
      <c r="I41" s="52"/>
      <c r="J41" s="52"/>
    </row>
    <row r="42" spans="1:10">
      <c r="A42" s="20"/>
      <c r="B42" s="70" t="s">
        <v>110</v>
      </c>
      <c r="C42" s="111">
        <f>50000</f>
        <v>50000</v>
      </c>
      <c r="D42" s="20"/>
      <c r="E42" s="34"/>
      <c r="F42" s="60" t="s">
        <v>84</v>
      </c>
      <c r="G42" s="60">
        <v>1200</v>
      </c>
      <c r="H42" s="57"/>
      <c r="I42" s="112"/>
      <c r="J42" s="52"/>
    </row>
    <row r="43" spans="1:10">
      <c r="A43" s="25"/>
      <c r="B43" s="70" t="s">
        <v>111</v>
      </c>
      <c r="C43" s="70">
        <v>20000</v>
      </c>
      <c r="D43" s="20"/>
      <c r="E43" s="34"/>
      <c r="F43" s="70" t="s">
        <v>104</v>
      </c>
      <c r="G43" s="60">
        <v>2000</v>
      </c>
      <c r="H43" s="57"/>
      <c r="I43" s="52"/>
      <c r="J43" s="52"/>
    </row>
    <row r="44" spans="1:10">
      <c r="A44" s="25"/>
      <c r="B44" s="70" t="s">
        <v>96</v>
      </c>
      <c r="C44" s="69">
        <v>1000</v>
      </c>
      <c r="D44" s="20"/>
      <c r="E44" s="34"/>
      <c r="F44" s="82" t="s">
        <v>51</v>
      </c>
      <c r="G44" s="42">
        <f>G8-C18-C25-C32-C39-C45-G15-G22-G30-G36-G39-G40-G41-G42-G43</f>
        <v>7360</v>
      </c>
      <c r="H44" s="35"/>
      <c r="I44" s="52"/>
      <c r="J44" s="52"/>
    </row>
    <row r="45" spans="1:10">
      <c r="B45" s="70" t="s">
        <v>49</v>
      </c>
      <c r="C45" s="70">
        <f>SUM(C42:C44)</f>
        <v>71000</v>
      </c>
      <c r="D45" s="38">
        <f>C45/$G$48</f>
        <v>0.25357142857142856</v>
      </c>
      <c r="E45" s="33"/>
      <c r="F45" s="60" t="s">
        <v>49</v>
      </c>
      <c r="G45" s="60">
        <f>SUM(G39:G44)</f>
        <v>12000</v>
      </c>
      <c r="H45" s="64">
        <f>G45/$G$48</f>
        <v>4.2857142857142858E-2</v>
      </c>
      <c r="I45" s="52"/>
      <c r="J45" s="52"/>
    </row>
    <row r="46" spans="1:10">
      <c r="A46" s="25"/>
      <c r="B46" s="66"/>
      <c r="C46" s="66"/>
      <c r="D46" s="20"/>
      <c r="E46" s="33"/>
      <c r="F46" s="57"/>
      <c r="G46" s="57"/>
      <c r="H46" s="57"/>
      <c r="I46" s="52"/>
      <c r="J46" s="52"/>
    </row>
    <row r="47" spans="1:10" s="54" customFormat="1">
      <c r="A47" s="57"/>
      <c r="B47" s="57"/>
      <c r="C47" s="60"/>
      <c r="D47" s="60"/>
      <c r="E47" s="57"/>
      <c r="F47" s="57"/>
      <c r="G47" s="57"/>
      <c r="H47" s="57"/>
      <c r="I47" s="52"/>
      <c r="J47" s="52"/>
    </row>
    <row r="48" spans="1:10">
      <c r="A48" s="25"/>
      <c r="B48" s="25"/>
      <c r="C48" s="129" t="s">
        <v>62</v>
      </c>
      <c r="D48" s="129"/>
      <c r="E48" s="129"/>
      <c r="F48" s="129"/>
      <c r="G48" s="36">
        <f>C18+C25+C32+C39+C45+G36+G22+G15+G45+G30</f>
        <v>280000</v>
      </c>
      <c r="H48" s="62">
        <f>D18+D25+D32+D39+D45+H36+H22+H15+H30+H45</f>
        <v>0.99999999999999989</v>
      </c>
      <c r="I48" s="52"/>
      <c r="J48" s="52"/>
    </row>
    <row r="49" spans="1:10">
      <c r="A49" s="25"/>
      <c r="B49" s="25"/>
      <c r="C49" s="20"/>
      <c r="D49" s="20"/>
      <c r="E49" s="20"/>
      <c r="F49" s="20"/>
      <c r="G49" s="20"/>
      <c r="H49" s="25"/>
      <c r="I49" s="52"/>
      <c r="J49" s="52"/>
    </row>
    <row r="50" spans="1:10">
      <c r="A50" s="130"/>
      <c r="B50" s="130"/>
      <c r="C50" s="25"/>
      <c r="D50" s="25"/>
      <c r="E50" s="25"/>
      <c r="F50" s="25"/>
      <c r="G50" s="25"/>
      <c r="H50" s="48" t="s">
        <v>174</v>
      </c>
      <c r="I50" s="52"/>
      <c r="J50" s="52"/>
    </row>
    <row r="51" spans="1:10">
      <c r="A51" s="122"/>
      <c r="B51" s="122"/>
      <c r="C51" s="122"/>
      <c r="D51" s="122"/>
      <c r="E51" s="122"/>
      <c r="F51" s="122"/>
      <c r="G51" s="122"/>
      <c r="H51" s="122"/>
      <c r="I51" s="52"/>
      <c r="J51" s="52"/>
    </row>
    <row r="52" spans="1:10">
      <c r="I52" s="52"/>
      <c r="J52" s="52"/>
    </row>
    <row r="53" spans="1:10">
      <c r="I53" s="52"/>
      <c r="J53" s="52"/>
    </row>
    <row r="54" spans="1:10">
      <c r="I54" s="52"/>
      <c r="J54" s="52"/>
    </row>
    <row r="55" spans="1:10">
      <c r="I55" s="52"/>
      <c r="J55" s="52"/>
    </row>
    <row r="56" spans="1:10">
      <c r="I56" s="52"/>
      <c r="J56" s="52"/>
    </row>
    <row r="57" spans="1:10">
      <c r="I57" s="52"/>
      <c r="J57" s="52"/>
    </row>
    <row r="58" spans="1:10">
      <c r="I58" s="52"/>
      <c r="J58" s="52"/>
    </row>
    <row r="59" spans="1:10">
      <c r="I59" s="52"/>
      <c r="J59" s="52"/>
    </row>
    <row r="60" spans="1:10">
      <c r="I60" s="52"/>
      <c r="J60" s="52"/>
    </row>
    <row r="61" spans="1:10">
      <c r="I61" s="52"/>
      <c r="J61" s="52"/>
    </row>
    <row r="62" spans="1:10">
      <c r="I62" s="52"/>
      <c r="J62" s="52"/>
    </row>
    <row r="63" spans="1:10">
      <c r="I63" s="52"/>
      <c r="J63" s="52"/>
    </row>
  </sheetData>
  <sheetCalcPr fullCalcOnLoad="1"/>
  <mergeCells count="11">
    <mergeCell ref="A34:B34"/>
    <mergeCell ref="A41:B41"/>
    <mergeCell ref="A51:H51"/>
    <mergeCell ref="C48:F48"/>
    <mergeCell ref="A50:B50"/>
    <mergeCell ref="A1:H1"/>
    <mergeCell ref="A2:G2"/>
    <mergeCell ref="C8:F8"/>
    <mergeCell ref="A11:B11"/>
    <mergeCell ref="E24:F24"/>
    <mergeCell ref="E17:F17"/>
  </mergeCells>
  <phoneticPr fontId="2" type="noConversion"/>
  <pageMargins left="1.5" right="0.5" top="0.75" bottom="0.25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I45"/>
  <sheetViews>
    <sheetView zoomScale="125" workbookViewId="0">
      <selection sqref="A1:H1"/>
    </sheetView>
  </sheetViews>
  <sheetFormatPr baseColWidth="10" defaultRowHeight="13"/>
  <cols>
    <col min="1" max="1" width="4.7109375" customWidth="1"/>
    <col min="2" max="2" width="18.7109375" customWidth="1"/>
    <col min="3" max="3" width="8.7109375" customWidth="1"/>
    <col min="4" max="5" width="4.7109375" customWidth="1"/>
    <col min="6" max="6" width="18.7109375" customWidth="1"/>
    <col min="7" max="7" width="8.7109375" customWidth="1"/>
    <col min="8" max="8" width="4.7109375" customWidth="1"/>
  </cols>
  <sheetData>
    <row r="1" spans="1:8" ht="16">
      <c r="A1" s="117" t="s">
        <v>117</v>
      </c>
      <c r="B1" s="117"/>
      <c r="C1" s="117"/>
      <c r="D1" s="117"/>
      <c r="E1" s="117"/>
      <c r="F1" s="117"/>
      <c r="G1" s="117"/>
      <c r="H1" s="117"/>
    </row>
    <row r="4" spans="1:8">
      <c r="A4" s="74" t="s">
        <v>120</v>
      </c>
      <c r="B4" s="75"/>
      <c r="C4" s="75"/>
      <c r="D4" s="75"/>
      <c r="E4" s="75"/>
      <c r="F4" s="82"/>
      <c r="G4" s="82"/>
      <c r="H4" s="75"/>
    </row>
    <row r="5" spans="1:8">
      <c r="A5" s="116" t="s">
        <v>105</v>
      </c>
      <c r="B5" s="116"/>
      <c r="C5" s="82"/>
      <c r="D5" s="29"/>
      <c r="E5" s="77" t="s">
        <v>65</v>
      </c>
      <c r="F5" s="75"/>
      <c r="G5" s="75"/>
      <c r="H5" s="75"/>
    </row>
    <row r="6" spans="1:8">
      <c r="A6" s="75"/>
      <c r="B6" s="80" t="s">
        <v>46</v>
      </c>
      <c r="C6" s="66">
        <v>0</v>
      </c>
      <c r="D6" s="29"/>
      <c r="E6" s="75"/>
      <c r="F6" s="66" t="s">
        <v>66</v>
      </c>
      <c r="G6" s="66">
        <v>0</v>
      </c>
      <c r="H6" s="75"/>
    </row>
    <row r="7" spans="1:8">
      <c r="A7" s="75"/>
      <c r="B7" s="75" t="s">
        <v>97</v>
      </c>
      <c r="C7" s="82">
        <f>IncExp!C13</f>
        <v>22000</v>
      </c>
      <c r="D7" s="29"/>
      <c r="E7" s="75"/>
      <c r="F7" s="66" t="s">
        <v>67</v>
      </c>
      <c r="G7" s="66">
        <v>0</v>
      </c>
      <c r="H7" s="75"/>
    </row>
    <row r="8" spans="1:8">
      <c r="A8" s="75"/>
      <c r="B8" s="75" t="s">
        <v>121</v>
      </c>
      <c r="C8" s="86">
        <f>IncExp!C14</f>
        <v>2000</v>
      </c>
      <c r="D8" s="29"/>
      <c r="E8" s="33"/>
      <c r="F8" s="66" t="s">
        <v>96</v>
      </c>
      <c r="G8" s="87">
        <v>0</v>
      </c>
      <c r="H8" s="75"/>
    </row>
    <row r="9" spans="1:8">
      <c r="A9" s="75"/>
      <c r="B9" s="75" t="s">
        <v>87</v>
      </c>
      <c r="C9" s="86">
        <f>IncExp!C15</f>
        <v>7000</v>
      </c>
      <c r="D9" s="29"/>
      <c r="E9" s="53"/>
      <c r="F9" s="66" t="s">
        <v>49</v>
      </c>
      <c r="G9" s="66">
        <f>SUM(G6:G8)</f>
        <v>0</v>
      </c>
      <c r="H9" s="84">
        <f>G9/$G$42</f>
        <v>0</v>
      </c>
    </row>
    <row r="10" spans="1:8">
      <c r="A10" s="31"/>
      <c r="B10" s="75" t="s">
        <v>88</v>
      </c>
      <c r="C10" s="86">
        <f>IncExp!C16</f>
        <v>5000</v>
      </c>
      <c r="D10" s="29"/>
      <c r="E10" s="33"/>
      <c r="F10" s="82"/>
      <c r="G10" s="83"/>
      <c r="H10" s="75"/>
    </row>
    <row r="11" spans="1:8">
      <c r="A11" s="75"/>
      <c r="B11" s="75" t="s">
        <v>106</v>
      </c>
      <c r="C11" s="85">
        <f>IncExp!C17</f>
        <v>2000</v>
      </c>
      <c r="D11" s="29"/>
      <c r="E11" s="126" t="s">
        <v>59</v>
      </c>
      <c r="F11" s="127"/>
      <c r="G11" s="82"/>
      <c r="H11" s="75"/>
    </row>
    <row r="12" spans="1:8">
      <c r="A12" s="75"/>
      <c r="B12" s="75" t="s">
        <v>49</v>
      </c>
      <c r="C12" s="82">
        <f>SUM(C6:C11)</f>
        <v>38000</v>
      </c>
      <c r="D12" s="38">
        <f>C12/$G$42</f>
        <v>0.3619047619047619</v>
      </c>
      <c r="E12" s="82"/>
      <c r="F12" s="82" t="s">
        <v>50</v>
      </c>
      <c r="G12" s="86">
        <f>IncExp!G18</f>
        <v>600</v>
      </c>
      <c r="H12" s="75"/>
    </row>
    <row r="13" spans="1:8">
      <c r="A13" s="75"/>
      <c r="B13" s="75"/>
      <c r="C13" s="82"/>
      <c r="D13" s="29"/>
      <c r="E13" s="82"/>
      <c r="F13" s="82" t="s">
        <v>76</v>
      </c>
      <c r="G13" s="86">
        <f>IncExp!G19</f>
        <v>3000</v>
      </c>
      <c r="H13" s="75"/>
    </row>
    <row r="14" spans="1:8">
      <c r="A14" s="75" t="s">
        <v>112</v>
      </c>
      <c r="B14" s="75"/>
      <c r="C14" s="82"/>
      <c r="D14" s="29"/>
      <c r="E14" s="82"/>
      <c r="F14" s="82" t="s">
        <v>130</v>
      </c>
      <c r="G14" s="86">
        <f>IncExp!G20</f>
        <v>1000</v>
      </c>
      <c r="H14" s="75"/>
    </row>
    <row r="15" spans="1:8">
      <c r="A15" s="75"/>
      <c r="B15" s="75" t="s">
        <v>107</v>
      </c>
      <c r="C15" s="86">
        <f>IncExp!C21</f>
        <v>1000</v>
      </c>
      <c r="D15" s="29"/>
      <c r="E15" s="82"/>
      <c r="F15" s="82" t="s">
        <v>132</v>
      </c>
      <c r="G15" s="85">
        <f>IncExp!G21</f>
        <v>5400</v>
      </c>
      <c r="H15" s="75"/>
    </row>
    <row r="16" spans="1:8">
      <c r="A16" s="75"/>
      <c r="B16" s="75" t="s">
        <v>169</v>
      </c>
      <c r="C16" s="86">
        <f>IncExp!C22</f>
        <v>1000</v>
      </c>
      <c r="D16" s="29"/>
      <c r="E16" s="82"/>
      <c r="F16" s="82" t="s">
        <v>64</v>
      </c>
      <c r="G16" s="82">
        <f>SUM(G12:G15)</f>
        <v>10000</v>
      </c>
      <c r="H16" s="64">
        <f>G16/$G$42</f>
        <v>9.5238095238095233E-2</v>
      </c>
    </row>
    <row r="17" spans="1:9">
      <c r="A17" s="75"/>
      <c r="B17" s="75" t="s">
        <v>171</v>
      </c>
      <c r="C17" s="86">
        <f>IncExp!C23</f>
        <v>500</v>
      </c>
      <c r="D17" s="29"/>
      <c r="E17" s="75"/>
      <c r="F17" s="75"/>
      <c r="G17" s="75"/>
      <c r="H17" s="75"/>
    </row>
    <row r="18" spans="1:9">
      <c r="A18" s="75"/>
      <c r="B18" s="75" t="s">
        <v>170</v>
      </c>
      <c r="C18" s="85">
        <f>IncExp!C24</f>
        <v>1500</v>
      </c>
      <c r="D18" s="29"/>
      <c r="E18" s="124" t="s">
        <v>172</v>
      </c>
      <c r="F18" s="125"/>
      <c r="G18" s="82"/>
      <c r="H18" s="75"/>
    </row>
    <row r="19" spans="1:9">
      <c r="A19" s="75"/>
      <c r="B19" s="75" t="s">
        <v>49</v>
      </c>
      <c r="C19" s="82">
        <f>SUM(C15:C18)</f>
        <v>4000</v>
      </c>
      <c r="D19" s="38">
        <f>C19/$G$42</f>
        <v>3.8095238095238099E-2</v>
      </c>
      <c r="E19" s="75"/>
      <c r="F19" s="75" t="s">
        <v>74</v>
      </c>
      <c r="G19" s="66">
        <v>0</v>
      </c>
      <c r="H19" s="75"/>
    </row>
    <row r="20" spans="1:9">
      <c r="A20" s="75"/>
      <c r="B20" s="75"/>
      <c r="C20" s="82"/>
      <c r="D20" s="29"/>
      <c r="E20" s="75"/>
      <c r="F20" s="75" t="s">
        <v>99</v>
      </c>
      <c r="G20" s="86">
        <f>IncExp!G26</f>
        <v>2000</v>
      </c>
      <c r="H20" s="75"/>
    </row>
    <row r="21" spans="1:9">
      <c r="A21" s="75" t="s">
        <v>113</v>
      </c>
      <c r="B21" s="75"/>
      <c r="C21" s="82"/>
      <c r="D21" s="29"/>
      <c r="E21" s="75"/>
      <c r="F21" s="75" t="s">
        <v>100</v>
      </c>
      <c r="G21" s="86">
        <f>IncExp!G27</f>
        <v>1500</v>
      </c>
      <c r="H21" s="75"/>
    </row>
    <row r="22" spans="1:9">
      <c r="A22" s="31"/>
      <c r="B22" s="75" t="s">
        <v>109</v>
      </c>
      <c r="C22" s="86">
        <f>IncExp!C28</f>
        <v>3000</v>
      </c>
      <c r="D22" s="29"/>
      <c r="E22" s="75"/>
      <c r="F22" s="75" t="s">
        <v>55</v>
      </c>
      <c r="G22" s="86">
        <f>IncExp!G28</f>
        <v>3000</v>
      </c>
      <c r="H22" s="75"/>
    </row>
    <row r="23" spans="1:9">
      <c r="A23" s="31"/>
      <c r="B23" s="75" t="s">
        <v>56</v>
      </c>
      <c r="C23" s="86">
        <f>IncExp!C29</f>
        <v>1000</v>
      </c>
      <c r="D23" s="29"/>
      <c r="E23" s="75"/>
      <c r="F23" s="75" t="s">
        <v>101</v>
      </c>
      <c r="G23" s="85">
        <f>IncExp!G29</f>
        <v>2500</v>
      </c>
      <c r="H23" s="75"/>
    </row>
    <row r="24" spans="1:9">
      <c r="A24" s="75"/>
      <c r="B24" s="75" t="s">
        <v>57</v>
      </c>
      <c r="C24" s="86">
        <f>IncExp!C30</f>
        <v>500</v>
      </c>
      <c r="D24" s="29"/>
      <c r="E24" s="75"/>
      <c r="F24" s="82" t="s">
        <v>49</v>
      </c>
      <c r="G24" s="82">
        <f>SUM(G19:G23)</f>
        <v>9000</v>
      </c>
      <c r="H24" s="64">
        <f>G24/$G$42</f>
        <v>8.5714285714285715E-2</v>
      </c>
    </row>
    <row r="25" spans="1:9">
      <c r="A25" s="75"/>
      <c r="B25" s="75" t="s">
        <v>58</v>
      </c>
      <c r="C25" s="85">
        <f>IncExp!C31</f>
        <v>1500</v>
      </c>
      <c r="D25" s="29"/>
      <c r="E25" s="75"/>
      <c r="F25" s="75"/>
      <c r="G25" s="75"/>
      <c r="H25" s="75"/>
    </row>
    <row r="26" spans="1:9">
      <c r="A26" s="75"/>
      <c r="B26" s="75" t="s">
        <v>49</v>
      </c>
      <c r="C26" s="82">
        <f>SUM(C22:C25)</f>
        <v>6000</v>
      </c>
      <c r="D26" s="38">
        <f>C26/$G$42</f>
        <v>5.7142857142857141E-2</v>
      </c>
      <c r="E26" s="82" t="s">
        <v>116</v>
      </c>
      <c r="F26" s="82"/>
      <c r="G26" s="82"/>
      <c r="H26" s="82"/>
    </row>
    <row r="27" spans="1:9">
      <c r="A27" s="75"/>
      <c r="B27" s="75"/>
      <c r="C27" s="82"/>
      <c r="D27" s="29"/>
      <c r="E27" s="82"/>
      <c r="F27" s="82" t="s">
        <v>48</v>
      </c>
      <c r="G27" s="86">
        <f>IncExp!G33</f>
        <v>5400</v>
      </c>
      <c r="H27" s="82"/>
    </row>
    <row r="28" spans="1:9">
      <c r="A28" s="116" t="s">
        <v>114</v>
      </c>
      <c r="B28" s="116"/>
      <c r="C28" s="82"/>
      <c r="D28" s="29"/>
      <c r="E28" s="82"/>
      <c r="F28" s="82" t="s">
        <v>85</v>
      </c>
      <c r="G28" s="86">
        <f>IncExp!G34</f>
        <v>3600</v>
      </c>
      <c r="H28" s="82"/>
    </row>
    <row r="29" spans="1:9">
      <c r="A29" s="75"/>
      <c r="B29" s="75" t="s">
        <v>129</v>
      </c>
      <c r="C29" s="86">
        <f>IncExp!C35</f>
        <v>12000</v>
      </c>
      <c r="D29" s="29"/>
      <c r="E29" s="82"/>
      <c r="F29" s="82" t="s">
        <v>86</v>
      </c>
      <c r="G29" s="85">
        <f>IncExp!G35</f>
        <v>1000</v>
      </c>
      <c r="H29" s="82"/>
    </row>
    <row r="30" spans="1:9">
      <c r="A30" s="75"/>
      <c r="B30" s="75" t="s">
        <v>131</v>
      </c>
      <c r="C30" s="86">
        <f>IncExp!C36</f>
        <v>1000</v>
      </c>
      <c r="D30" s="29"/>
      <c r="E30" s="82"/>
      <c r="F30" s="82" t="s">
        <v>49</v>
      </c>
      <c r="G30" s="82">
        <f>SUM(G27:G29)</f>
        <v>10000</v>
      </c>
      <c r="H30" s="64">
        <f>G30/$G$42</f>
        <v>9.5238095238095233E-2</v>
      </c>
      <c r="I30" s="52"/>
    </row>
    <row r="31" spans="1:9">
      <c r="A31" s="75"/>
      <c r="B31" s="75" t="s">
        <v>1</v>
      </c>
      <c r="C31" s="86">
        <f>IncExp!C37</f>
        <v>1000</v>
      </c>
      <c r="D31" s="29"/>
      <c r="E31" s="54"/>
      <c r="F31" s="54"/>
      <c r="G31" s="54"/>
      <c r="H31" s="54"/>
    </row>
    <row r="32" spans="1:9">
      <c r="A32" s="75"/>
      <c r="B32" s="75" t="s">
        <v>95</v>
      </c>
      <c r="C32" s="85">
        <f>IncExp!C38</f>
        <v>2000</v>
      </c>
      <c r="D32" s="29"/>
      <c r="E32" s="78" t="s">
        <v>45</v>
      </c>
      <c r="F32" s="81"/>
      <c r="G32" s="82"/>
      <c r="H32" s="75"/>
    </row>
    <row r="33" spans="1:8">
      <c r="A33" s="75"/>
      <c r="B33" s="75" t="s">
        <v>49</v>
      </c>
      <c r="C33" s="41">
        <f>SUM(C29:C32)</f>
        <v>16000</v>
      </c>
      <c r="D33" s="38">
        <f>C33/$G$42</f>
        <v>0.15238095238095239</v>
      </c>
      <c r="E33" s="33"/>
      <c r="F33" s="82" t="s">
        <v>47</v>
      </c>
      <c r="G33" s="86">
        <f>IncExp!G39</f>
        <v>600</v>
      </c>
      <c r="H33" s="75"/>
    </row>
    <row r="34" spans="1:8">
      <c r="A34" s="75"/>
      <c r="B34" s="75"/>
      <c r="C34" s="82"/>
      <c r="D34" s="29"/>
      <c r="E34" s="34"/>
      <c r="F34" s="75" t="s">
        <v>102</v>
      </c>
      <c r="G34" s="86">
        <f>IncExp!G40</f>
        <v>360</v>
      </c>
      <c r="H34" s="75"/>
    </row>
    <row r="35" spans="1:8">
      <c r="A35" s="128" t="s">
        <v>115</v>
      </c>
      <c r="B35" s="128"/>
      <c r="C35" s="82"/>
      <c r="D35" s="29"/>
      <c r="E35" s="34"/>
      <c r="F35" s="82" t="s">
        <v>103</v>
      </c>
      <c r="G35" s="86">
        <f>IncExp!G41</f>
        <v>480</v>
      </c>
      <c r="H35" s="75"/>
    </row>
    <row r="36" spans="1:8">
      <c r="A36" s="82"/>
      <c r="B36" s="66" t="s">
        <v>110</v>
      </c>
      <c r="C36" s="66">
        <v>0</v>
      </c>
      <c r="D36" s="82"/>
      <c r="E36" s="34"/>
      <c r="F36" s="82" t="s">
        <v>84</v>
      </c>
      <c r="G36" s="86">
        <f>IncExp!G42</f>
        <v>1200</v>
      </c>
      <c r="H36" s="75"/>
    </row>
    <row r="37" spans="1:8">
      <c r="A37" s="75"/>
      <c r="B37" s="66" t="s">
        <v>111</v>
      </c>
      <c r="C37" s="66">
        <v>0</v>
      </c>
      <c r="D37" s="82"/>
      <c r="E37" s="34"/>
      <c r="F37" s="82" t="s">
        <v>104</v>
      </c>
      <c r="G37" s="86">
        <f>IncExp!G43</f>
        <v>2000</v>
      </c>
      <c r="H37" s="75"/>
    </row>
    <row r="38" spans="1:8">
      <c r="A38" s="75"/>
      <c r="B38" s="66" t="s">
        <v>96</v>
      </c>
      <c r="C38" s="87">
        <v>0</v>
      </c>
      <c r="D38" s="82"/>
      <c r="E38" s="34"/>
      <c r="F38" s="82" t="s">
        <v>51</v>
      </c>
      <c r="G38" s="85">
        <f>IncExp!G44</f>
        <v>7360</v>
      </c>
      <c r="H38" s="35"/>
    </row>
    <row r="39" spans="1:8">
      <c r="A39" s="54"/>
      <c r="B39" s="66" t="s">
        <v>49</v>
      </c>
      <c r="C39" s="66">
        <f>SUM(C36:C38)</f>
        <v>0</v>
      </c>
      <c r="D39" s="38">
        <f>C39/$G$42</f>
        <v>0</v>
      </c>
      <c r="E39" s="33"/>
      <c r="F39" s="82" t="s">
        <v>49</v>
      </c>
      <c r="G39" s="82">
        <f>SUM(G33:G38)</f>
        <v>12000</v>
      </c>
      <c r="H39" s="64">
        <f>G39/$G$42</f>
        <v>0.11428571428571428</v>
      </c>
    </row>
    <row r="40" spans="1:8">
      <c r="A40" s="75"/>
      <c r="B40" s="66"/>
      <c r="C40" s="66"/>
      <c r="D40" s="82"/>
      <c r="E40" s="33"/>
      <c r="F40" s="75"/>
      <c r="G40" s="75"/>
      <c r="H40" s="75"/>
    </row>
    <row r="41" spans="1:8">
      <c r="A41" s="75"/>
      <c r="B41" s="75"/>
      <c r="C41" s="82"/>
      <c r="D41" s="82"/>
      <c r="E41" s="75"/>
      <c r="F41" s="75"/>
      <c r="G41" s="75"/>
      <c r="H41" s="75"/>
    </row>
    <row r="42" spans="1:8">
      <c r="A42" s="75"/>
      <c r="B42" s="75"/>
      <c r="C42" s="129" t="s">
        <v>9</v>
      </c>
      <c r="D42" s="129"/>
      <c r="E42" s="129"/>
      <c r="F42" s="129"/>
      <c r="G42" s="36">
        <f>C12+C19+C26+C33+C39+G30+G16+G9+G39+G24</f>
        <v>105000</v>
      </c>
      <c r="H42" s="62">
        <f>D12+D19+D26+D33+D39+H30+H16+H9+H24+H39</f>
        <v>1</v>
      </c>
    </row>
    <row r="43" spans="1:8">
      <c r="A43" s="75"/>
      <c r="B43" s="75"/>
      <c r="C43" s="82"/>
      <c r="D43" s="82"/>
      <c r="E43" s="82"/>
      <c r="F43" s="82"/>
      <c r="G43" s="82"/>
      <c r="H43" s="75"/>
    </row>
    <row r="44" spans="1:8">
      <c r="A44" s="130"/>
      <c r="B44" s="130"/>
      <c r="C44" s="75"/>
      <c r="D44" s="75"/>
      <c r="E44" s="75"/>
      <c r="F44" s="75"/>
      <c r="G44" s="75"/>
      <c r="H44" s="48" t="s">
        <v>175</v>
      </c>
    </row>
    <row r="45" spans="1:8">
      <c r="A45" s="122"/>
      <c r="B45" s="122"/>
      <c r="C45" s="122"/>
      <c r="D45" s="122"/>
      <c r="E45" s="122"/>
      <c r="F45" s="122"/>
      <c r="G45" s="122"/>
      <c r="H45" s="122"/>
    </row>
  </sheetData>
  <sheetCalcPr fullCalcOnLoad="1"/>
  <mergeCells count="9">
    <mergeCell ref="A1:H1"/>
    <mergeCell ref="A44:B44"/>
    <mergeCell ref="A45:H45"/>
    <mergeCell ref="A5:B5"/>
    <mergeCell ref="E11:F11"/>
    <mergeCell ref="E18:F18"/>
    <mergeCell ref="A28:B28"/>
    <mergeCell ref="A35:B35"/>
    <mergeCell ref="C42:F42"/>
  </mergeCells>
  <phoneticPr fontId="2" type="noConversion"/>
  <pageMargins left="0.75" right="0.75" top="1" bottom="1" header="0.5" footer="0.5"/>
  <colBreaks count="1" manualBreakCount="1">
    <brk id="8" max="1048575" man="1" pt="1"/>
  </colBreaks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Q97"/>
  <sheetViews>
    <sheetView zoomScale="125" workbookViewId="0">
      <selection sqref="A1:Q1"/>
    </sheetView>
  </sheetViews>
  <sheetFormatPr baseColWidth="10" defaultRowHeight="13"/>
  <cols>
    <col min="1" max="1" width="7.85546875" customWidth="1"/>
    <col min="2" max="2" width="4.7109375" customWidth="1"/>
    <col min="3" max="3" width="8.42578125" customWidth="1"/>
    <col min="4" max="4" width="8.42578125" style="23" customWidth="1"/>
    <col min="5" max="5" width="8.42578125" style="50" customWidth="1"/>
    <col min="6" max="15" width="8.42578125" customWidth="1"/>
    <col min="16" max="16" width="10" customWidth="1"/>
    <col min="17" max="17" width="15.85546875" customWidth="1"/>
  </cols>
  <sheetData>
    <row r="1" spans="1:17" ht="18">
      <c r="A1" s="131" t="s">
        <v>72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2"/>
    </row>
    <row r="2" spans="1:17">
      <c r="N2" s="2"/>
    </row>
    <row r="3" spans="1:17" ht="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7" ht="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7" ht="1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7" ht="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7" ht="1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7" ht="1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7" ht="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7" ht="1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7" ht="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7" ht="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7" ht="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7" ht="1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17" ht="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</row>
    <row r="16" spans="1:17" ht="1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5" ht="1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</row>
    <row r="18" spans="1:15" ht="1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</row>
    <row r="19" spans="1:15" ht="1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</row>
    <row r="20" spans="1:15" ht="1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1:15" ht="1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 spans="1:15" ht="1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1:15" ht="1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1:15" ht="1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 ht="1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15" ht="1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</row>
    <row r="27" spans="1:15" ht="1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ht="1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  <row r="29" spans="1:15" ht="1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ht="1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1:15" ht="1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</row>
    <row r="32" spans="1:15" ht="1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 spans="1:17" ht="1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1:17" ht="1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7" ht="1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  <row r="36" spans="1:17" ht="1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1:17" ht="1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1:17" ht="1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</row>
    <row r="39" spans="1:17" ht="1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7" ht="1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</row>
    <row r="41" spans="1:17" ht="1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</row>
    <row r="42" spans="1:17" ht="1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</row>
    <row r="43" spans="1:17">
      <c r="L43" s="2"/>
      <c r="N43" s="5"/>
    </row>
    <row r="44" spans="1:17">
      <c r="L44" s="2"/>
      <c r="N44" s="5"/>
    </row>
    <row r="45" spans="1:17">
      <c r="L45" s="2"/>
      <c r="N45" s="5"/>
    </row>
    <row r="46" spans="1:17">
      <c r="A46" s="133" t="s">
        <v>91</v>
      </c>
      <c r="B46" s="133"/>
      <c r="C46" s="133"/>
      <c r="D46" s="133"/>
      <c r="E46" s="133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33"/>
    </row>
    <row r="47" spans="1:17" s="50" customFormat="1">
      <c r="A47" s="51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</row>
    <row r="48" spans="1:17">
      <c r="L48" s="2"/>
      <c r="N48" s="5"/>
    </row>
    <row r="49" spans="1:17">
      <c r="A49" s="17"/>
      <c r="L49" s="2"/>
      <c r="N49" s="5"/>
    </row>
    <row r="50" spans="1:17" ht="18">
      <c r="A50" s="135" t="str">
        <f>A1</f>
        <v>Scenario 1:  John and Jane both retire at age 62.</v>
      </c>
      <c r="B50" s="135"/>
      <c r="C50" s="135"/>
      <c r="D50" s="135"/>
      <c r="E50" s="135"/>
      <c r="F50" s="135"/>
      <c r="G50" s="135"/>
      <c r="H50" s="135"/>
      <c r="I50" s="135"/>
      <c r="J50" s="135"/>
      <c r="K50" s="135"/>
      <c r="L50" s="135"/>
      <c r="M50" s="135"/>
      <c r="N50" s="135"/>
      <c r="O50" s="135"/>
      <c r="P50" s="135"/>
      <c r="Q50" s="136"/>
    </row>
    <row r="51" spans="1:17">
      <c r="A51" s="89"/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107"/>
      <c r="M51" s="89"/>
      <c r="N51" s="5"/>
      <c r="O51" s="89"/>
      <c r="P51" s="89"/>
      <c r="Q51" s="89"/>
    </row>
    <row r="52" spans="1:17">
      <c r="A52" s="49"/>
      <c r="B52" s="91" t="s">
        <v>199</v>
      </c>
      <c r="C52" s="95">
        <v>0.03</v>
      </c>
      <c r="D52" s="95">
        <v>0.03</v>
      </c>
      <c r="E52" s="95">
        <v>0.03</v>
      </c>
      <c r="F52" s="95">
        <v>0.03</v>
      </c>
      <c r="G52" s="96">
        <v>0.06</v>
      </c>
      <c r="H52" s="95">
        <v>0.03</v>
      </c>
      <c r="I52" s="92"/>
      <c r="J52" s="95">
        <v>0.03</v>
      </c>
      <c r="K52" s="95"/>
      <c r="L52" s="97">
        <v>0.22</v>
      </c>
      <c r="M52" s="95">
        <v>0.03</v>
      </c>
      <c r="N52" s="98"/>
      <c r="O52" s="98"/>
      <c r="P52" s="89"/>
      <c r="Q52" s="89"/>
    </row>
    <row r="53" spans="1:17" s="54" customFormat="1">
      <c r="A53" s="49"/>
      <c r="B53" s="91"/>
      <c r="C53" s="92"/>
      <c r="D53" s="92"/>
      <c r="E53" s="92"/>
      <c r="F53" s="99"/>
      <c r="G53" s="96"/>
      <c r="H53" s="99"/>
      <c r="I53" s="92"/>
      <c r="J53" s="99"/>
      <c r="K53" s="100"/>
      <c r="L53" s="99"/>
      <c r="M53" s="99"/>
      <c r="N53" s="98"/>
      <c r="O53" s="98"/>
      <c r="P53" s="6" t="s">
        <v>53</v>
      </c>
      <c r="Q53" s="89"/>
    </row>
    <row r="54" spans="1:17">
      <c r="A54" s="7" t="s">
        <v>54</v>
      </c>
      <c r="B54" s="16" t="s">
        <v>200</v>
      </c>
      <c r="C54" s="9" t="s">
        <v>12</v>
      </c>
      <c r="D54" s="9" t="s">
        <v>13</v>
      </c>
      <c r="E54" s="73" t="s">
        <v>14</v>
      </c>
      <c r="F54" s="9" t="s">
        <v>15</v>
      </c>
      <c r="G54" s="6" t="s">
        <v>16</v>
      </c>
      <c r="H54" s="9" t="s">
        <v>17</v>
      </c>
      <c r="I54" s="14" t="s">
        <v>18</v>
      </c>
      <c r="J54" s="9" t="s">
        <v>19</v>
      </c>
      <c r="K54" s="9" t="s">
        <v>20</v>
      </c>
      <c r="L54" s="9" t="s">
        <v>21</v>
      </c>
      <c r="M54" s="9" t="s">
        <v>22</v>
      </c>
      <c r="N54" s="14" t="s">
        <v>23</v>
      </c>
      <c r="O54" s="9" t="s">
        <v>24</v>
      </c>
      <c r="P54" s="6" t="s">
        <v>25</v>
      </c>
      <c r="Q54" s="8" t="s">
        <v>43</v>
      </c>
    </row>
    <row r="55" spans="1:17">
      <c r="A55" s="10">
        <v>2019</v>
      </c>
      <c r="B55" s="101">
        <f>A55-1959</f>
        <v>60</v>
      </c>
      <c r="C55" s="11">
        <f>IncExp!G4</f>
        <v>120000</v>
      </c>
      <c r="D55" s="11">
        <f>IncExp!G5</f>
        <v>90000</v>
      </c>
      <c r="E55" s="39">
        <v>0</v>
      </c>
      <c r="F55" s="11">
        <v>0</v>
      </c>
      <c r="G55" s="39">
        <f>IncExp!G7</f>
        <v>70000</v>
      </c>
      <c r="H55" s="11">
        <v>0</v>
      </c>
      <c r="I55" s="15">
        <f>SUM(C55:H55)</f>
        <v>280000</v>
      </c>
      <c r="J55" s="11">
        <f>RecExp!G42</f>
        <v>105000</v>
      </c>
      <c r="K55" s="11">
        <f>IncExp!C12</f>
        <v>24000</v>
      </c>
      <c r="L55" s="11">
        <f>IncExp!C45</f>
        <v>71000</v>
      </c>
      <c r="M55" s="39">
        <f>IncExp!G25</f>
        <v>5000</v>
      </c>
      <c r="N55" s="102">
        <f>SUM(J55:M55)</f>
        <v>205000</v>
      </c>
      <c r="O55" s="103">
        <f>I55-N55</f>
        <v>75000</v>
      </c>
      <c r="P55" s="11">
        <f>BalSht!G31</f>
        <v>1700000</v>
      </c>
      <c r="Q55" s="88" t="s">
        <v>26</v>
      </c>
    </row>
    <row r="56" spans="1:17">
      <c r="A56" s="10">
        <f t="shared" ref="A56:B56" si="0">A55+1</f>
        <v>2020</v>
      </c>
      <c r="B56" s="114">
        <f t="shared" si="0"/>
        <v>61</v>
      </c>
      <c r="C56" s="11">
        <f>C55*(1+C$52)</f>
        <v>123600</v>
      </c>
      <c r="D56" s="11">
        <f>D55*(1+D$52)</f>
        <v>92700</v>
      </c>
      <c r="E56" s="39">
        <v>0</v>
      </c>
      <c r="F56" s="11">
        <f>F55*F$52</f>
        <v>0</v>
      </c>
      <c r="G56" s="104">
        <f>IF(P55&gt;0,P55*G$52,0)</f>
        <v>102000</v>
      </c>
      <c r="H56" s="11">
        <v>0</v>
      </c>
      <c r="I56" s="15">
        <f t="shared" ref="I56:I94" si="1">SUM(C56:H56)</f>
        <v>318300</v>
      </c>
      <c r="J56" s="11">
        <f>J55*(1+J$52)</f>
        <v>108150</v>
      </c>
      <c r="K56" s="11">
        <f>K55</f>
        <v>24000</v>
      </c>
      <c r="L56" s="39">
        <f>I56*L$52</f>
        <v>70026</v>
      </c>
      <c r="M56" s="12">
        <f>M55</f>
        <v>5000</v>
      </c>
      <c r="N56" s="102">
        <f t="shared" ref="N56:N91" si="2">SUM(J56:M56)</f>
        <v>207176</v>
      </c>
      <c r="O56" s="103">
        <f t="shared" ref="O56:O91" si="3">I56-N56</f>
        <v>111124</v>
      </c>
      <c r="P56" s="103">
        <f>P55+O56</f>
        <v>1811124</v>
      </c>
      <c r="Q56" s="88"/>
    </row>
    <row r="57" spans="1:17">
      <c r="A57" s="114">
        <f t="shared" ref="A57:B57" si="4">A56+1</f>
        <v>2021</v>
      </c>
      <c r="B57" s="114">
        <f t="shared" si="4"/>
        <v>62</v>
      </c>
      <c r="C57" s="11">
        <v>0</v>
      </c>
      <c r="D57" s="11">
        <v>0</v>
      </c>
      <c r="E57" s="39">
        <f>2000*0.75*12</f>
        <v>18000</v>
      </c>
      <c r="F57" s="11">
        <f>1500*0.75*12</f>
        <v>13500</v>
      </c>
      <c r="G57" s="103">
        <f t="shared" ref="G57:G91" si="5">IF(P56&gt;0,P56*G$52,0)</f>
        <v>108667.44</v>
      </c>
      <c r="H57" s="11">
        <v>0</v>
      </c>
      <c r="I57" s="15">
        <f t="shared" si="1"/>
        <v>140167.44</v>
      </c>
      <c r="J57" s="11">
        <f>J56*(1+J$52)</f>
        <v>111394.5</v>
      </c>
      <c r="K57" s="11">
        <f t="shared" ref="K57:K76" si="6">K56</f>
        <v>24000</v>
      </c>
      <c r="L57" s="39">
        <f>I57*L$52</f>
        <v>30836.836800000001</v>
      </c>
      <c r="M57" s="11">
        <f>M56*(1+M$52)</f>
        <v>5150</v>
      </c>
      <c r="N57" s="102">
        <f t="shared" si="2"/>
        <v>171381.33679999999</v>
      </c>
      <c r="O57" s="103">
        <f t="shared" si="3"/>
        <v>-31213.896799999988</v>
      </c>
      <c r="P57" s="103">
        <f t="shared" ref="P57:P91" si="7">P56+O57</f>
        <v>1779910.1032</v>
      </c>
      <c r="Q57" s="89"/>
    </row>
    <row r="58" spans="1:17">
      <c r="A58" s="114">
        <f t="shared" ref="A58:B58" si="8">A57+1</f>
        <v>2022</v>
      </c>
      <c r="B58" s="114">
        <f t="shared" si="8"/>
        <v>63</v>
      </c>
      <c r="C58" s="11">
        <v>0</v>
      </c>
      <c r="D58" s="11">
        <v>0</v>
      </c>
      <c r="E58" s="11">
        <f>E57*(1+E$52)</f>
        <v>18540</v>
      </c>
      <c r="F58" s="11">
        <f>F57*(1+F$52)</f>
        <v>13905</v>
      </c>
      <c r="G58" s="103">
        <f t="shared" si="5"/>
        <v>106794.60619199999</v>
      </c>
      <c r="H58" s="11">
        <v>0</v>
      </c>
      <c r="I58" s="15">
        <f t="shared" si="1"/>
        <v>139239.60619199998</v>
      </c>
      <c r="J58" s="11">
        <f>J57*(1+J$52)</f>
        <v>114736.33500000001</v>
      </c>
      <c r="K58" s="11">
        <f t="shared" si="6"/>
        <v>24000</v>
      </c>
      <c r="L58" s="39">
        <f t="shared" ref="L58:L94" si="9">I58*L$52</f>
        <v>30632.713362239996</v>
      </c>
      <c r="M58" s="106">
        <f>M57*10</f>
        <v>51500</v>
      </c>
      <c r="N58" s="102">
        <f t="shared" si="2"/>
        <v>220869.04836224002</v>
      </c>
      <c r="O58" s="103">
        <f t="shared" si="3"/>
        <v>-81629.442170240043</v>
      </c>
      <c r="P58" s="103">
        <f t="shared" si="7"/>
        <v>1698280.66102976</v>
      </c>
      <c r="Q58" s="89" t="s">
        <v>134</v>
      </c>
    </row>
    <row r="59" spans="1:17">
      <c r="A59" s="114">
        <f t="shared" ref="A59:B59" si="10">A58+1</f>
        <v>2023</v>
      </c>
      <c r="B59" s="114">
        <f t="shared" si="10"/>
        <v>64</v>
      </c>
      <c r="C59" s="11">
        <v>0</v>
      </c>
      <c r="D59" s="11">
        <v>0</v>
      </c>
      <c r="E59" s="11">
        <f t="shared" ref="E59:F95" si="11">E58*(1+E$52)</f>
        <v>19096.2</v>
      </c>
      <c r="F59" s="11">
        <f t="shared" si="11"/>
        <v>14322.15</v>
      </c>
      <c r="G59" s="103">
        <f t="shared" si="5"/>
        <v>101896.83966178561</v>
      </c>
      <c r="H59" s="11">
        <v>0</v>
      </c>
      <c r="I59" s="15">
        <f t="shared" si="1"/>
        <v>135315.18966178561</v>
      </c>
      <c r="J59" s="11">
        <f t="shared" ref="J59:J95" si="12">J58*(1+J$52)</f>
        <v>118178.42505000001</v>
      </c>
      <c r="K59" s="11">
        <f t="shared" si="6"/>
        <v>24000</v>
      </c>
      <c r="L59" s="39">
        <f t="shared" si="9"/>
        <v>29769.341725592836</v>
      </c>
      <c r="M59" s="106">
        <f t="shared" ref="M59:M95" si="13">M58*(1+M$52)</f>
        <v>53045</v>
      </c>
      <c r="N59" s="102">
        <f t="shared" si="2"/>
        <v>224992.76677559287</v>
      </c>
      <c r="O59" s="103">
        <f t="shared" si="3"/>
        <v>-89677.57711380726</v>
      </c>
      <c r="P59" s="103">
        <f t="shared" si="7"/>
        <v>1608603.0839159528</v>
      </c>
      <c r="Q59" s="89" t="s">
        <v>134</v>
      </c>
    </row>
    <row r="60" spans="1:17">
      <c r="A60" s="114">
        <f t="shared" ref="A60:B60" si="14">A59+1</f>
        <v>2024</v>
      </c>
      <c r="B60" s="114">
        <f t="shared" si="14"/>
        <v>65</v>
      </c>
      <c r="C60" s="11">
        <v>0</v>
      </c>
      <c r="D60" s="11">
        <v>0</v>
      </c>
      <c r="E60" s="11">
        <f t="shared" si="11"/>
        <v>19669.086000000003</v>
      </c>
      <c r="F60" s="11">
        <f t="shared" si="11"/>
        <v>14751.8145</v>
      </c>
      <c r="G60" s="103">
        <f t="shared" si="5"/>
        <v>96516.185034957161</v>
      </c>
      <c r="H60" s="11">
        <v>0</v>
      </c>
      <c r="I60" s="15">
        <f t="shared" si="1"/>
        <v>130937.08553495716</v>
      </c>
      <c r="J60" s="11">
        <f t="shared" si="12"/>
        <v>121723.77780150001</v>
      </c>
      <c r="K60" s="11">
        <f t="shared" si="6"/>
        <v>24000</v>
      </c>
      <c r="L60" s="39">
        <f t="shared" si="9"/>
        <v>28806.158817690575</v>
      </c>
      <c r="M60" s="106">
        <f t="shared" si="13"/>
        <v>54636.35</v>
      </c>
      <c r="N60" s="102">
        <f t="shared" si="2"/>
        <v>229166.28661919056</v>
      </c>
      <c r="O60" s="103">
        <f t="shared" si="3"/>
        <v>-98229.201084233398</v>
      </c>
      <c r="P60" s="103">
        <f t="shared" si="7"/>
        <v>1510373.8828317195</v>
      </c>
      <c r="Q60" s="89" t="s">
        <v>134</v>
      </c>
    </row>
    <row r="61" spans="1:17">
      <c r="A61" s="114">
        <f t="shared" ref="A61:B61" si="15">A60+1</f>
        <v>2025</v>
      </c>
      <c r="B61" s="114">
        <f t="shared" si="15"/>
        <v>66</v>
      </c>
      <c r="C61" s="11">
        <v>0</v>
      </c>
      <c r="D61" s="11">
        <v>0</v>
      </c>
      <c r="E61" s="11">
        <f t="shared" si="11"/>
        <v>20259.158580000003</v>
      </c>
      <c r="F61" s="11">
        <f t="shared" si="11"/>
        <v>15194.368935</v>
      </c>
      <c r="G61" s="103">
        <f t="shared" si="5"/>
        <v>90622.432969903166</v>
      </c>
      <c r="H61" s="11">
        <v>0</v>
      </c>
      <c r="I61" s="15">
        <f t="shared" si="1"/>
        <v>126075.96048490316</v>
      </c>
      <c r="J61" s="11">
        <f t="shared" si="12"/>
        <v>125375.49113554502</v>
      </c>
      <c r="K61" s="11">
        <f t="shared" si="6"/>
        <v>24000</v>
      </c>
      <c r="L61" s="39">
        <f t="shared" si="9"/>
        <v>27736.711306678695</v>
      </c>
      <c r="M61" s="11">
        <f>M60*(1+M$52)/10</f>
        <v>5627.5440499999995</v>
      </c>
      <c r="N61" s="102">
        <f t="shared" si="2"/>
        <v>182739.7464922237</v>
      </c>
      <c r="O61" s="103">
        <f t="shared" si="3"/>
        <v>-56663.786007320537</v>
      </c>
      <c r="P61" s="103">
        <f t="shared" si="7"/>
        <v>1453710.096824399</v>
      </c>
      <c r="Q61" s="89"/>
    </row>
    <row r="62" spans="1:17">
      <c r="A62" s="114">
        <f t="shared" ref="A62:B62" si="16">A61+1</f>
        <v>2026</v>
      </c>
      <c r="B62" s="114">
        <f t="shared" si="16"/>
        <v>67</v>
      </c>
      <c r="C62" s="11">
        <v>0</v>
      </c>
      <c r="D62" s="11">
        <v>0</v>
      </c>
      <c r="E62" s="11">
        <f t="shared" si="11"/>
        <v>20866.933337400005</v>
      </c>
      <c r="F62" s="11">
        <f t="shared" si="11"/>
        <v>15650.20000305</v>
      </c>
      <c r="G62" s="103">
        <f t="shared" si="5"/>
        <v>87222.60580946393</v>
      </c>
      <c r="H62" s="11">
        <v>0</v>
      </c>
      <c r="I62" s="15">
        <f t="shared" si="1"/>
        <v>123739.73914991393</v>
      </c>
      <c r="J62" s="11">
        <f t="shared" si="12"/>
        <v>129136.75586961137</v>
      </c>
      <c r="K62" s="11">
        <f t="shared" si="6"/>
        <v>24000</v>
      </c>
      <c r="L62" s="39">
        <f t="shared" si="9"/>
        <v>27222.742612981066</v>
      </c>
      <c r="M62" s="11">
        <f t="shared" si="13"/>
        <v>5796.3703714999992</v>
      </c>
      <c r="N62" s="102">
        <f t="shared" si="2"/>
        <v>186155.86885409243</v>
      </c>
      <c r="O62" s="103">
        <f t="shared" si="3"/>
        <v>-62416.1297041785</v>
      </c>
      <c r="P62" s="103">
        <f t="shared" si="7"/>
        <v>1391293.9671202204</v>
      </c>
      <c r="Q62" s="89"/>
    </row>
    <row r="63" spans="1:17">
      <c r="A63" s="114">
        <f t="shared" ref="A63:B63" si="17">A62+1</f>
        <v>2027</v>
      </c>
      <c r="B63" s="114">
        <f t="shared" si="17"/>
        <v>68</v>
      </c>
      <c r="C63" s="11">
        <v>0</v>
      </c>
      <c r="D63" s="11">
        <v>0</v>
      </c>
      <c r="E63" s="11">
        <f t="shared" si="11"/>
        <v>21492.941337522007</v>
      </c>
      <c r="F63" s="11">
        <f t="shared" si="11"/>
        <v>16119.7060031415</v>
      </c>
      <c r="G63" s="103">
        <f t="shared" si="5"/>
        <v>83477.638027213223</v>
      </c>
      <c r="H63" s="11">
        <v>0</v>
      </c>
      <c r="I63" s="15">
        <f t="shared" si="1"/>
        <v>121090.28536787673</v>
      </c>
      <c r="J63" s="11">
        <f t="shared" si="12"/>
        <v>133010.85854569971</v>
      </c>
      <c r="K63" s="11">
        <f t="shared" si="6"/>
        <v>24000</v>
      </c>
      <c r="L63" s="39">
        <f t="shared" si="9"/>
        <v>26639.862780932879</v>
      </c>
      <c r="M63" s="11">
        <f t="shared" si="13"/>
        <v>5970.261482644999</v>
      </c>
      <c r="N63" s="102">
        <f t="shared" si="2"/>
        <v>189620.9828092776</v>
      </c>
      <c r="O63" s="103">
        <f t="shared" si="3"/>
        <v>-68530.697441400873</v>
      </c>
      <c r="P63" s="103">
        <f t="shared" si="7"/>
        <v>1322763.2696788195</v>
      </c>
      <c r="Q63" s="89"/>
    </row>
    <row r="64" spans="1:17">
      <c r="A64" s="114">
        <f t="shared" ref="A64:B64" si="18">A63+1</f>
        <v>2028</v>
      </c>
      <c r="B64" s="114">
        <f t="shared" si="18"/>
        <v>69</v>
      </c>
      <c r="C64" s="11">
        <v>0</v>
      </c>
      <c r="D64" s="11">
        <v>0</v>
      </c>
      <c r="E64" s="11">
        <f t="shared" si="11"/>
        <v>22137.729577647668</v>
      </c>
      <c r="F64" s="11">
        <f t="shared" si="11"/>
        <v>16603.297183235747</v>
      </c>
      <c r="G64" s="103">
        <f t="shared" si="5"/>
        <v>79365.796180729158</v>
      </c>
      <c r="H64" s="11">
        <v>0</v>
      </c>
      <c r="I64" s="15">
        <f t="shared" si="1"/>
        <v>118106.82294161257</v>
      </c>
      <c r="J64" s="11">
        <f t="shared" si="12"/>
        <v>137001.1843020707</v>
      </c>
      <c r="K64" s="11">
        <f t="shared" si="6"/>
        <v>24000</v>
      </c>
      <c r="L64" s="39">
        <f t="shared" si="9"/>
        <v>25983.501047154765</v>
      </c>
      <c r="M64" s="11">
        <f t="shared" si="13"/>
        <v>6149.3693271243492</v>
      </c>
      <c r="N64" s="102">
        <f t="shared" si="2"/>
        <v>193134.05467634983</v>
      </c>
      <c r="O64" s="103">
        <f t="shared" si="3"/>
        <v>-75027.231734737259</v>
      </c>
      <c r="P64" s="103">
        <f t="shared" si="7"/>
        <v>1247736.0379440822</v>
      </c>
      <c r="Q64" s="89"/>
    </row>
    <row r="65" spans="1:17">
      <c r="A65" s="114">
        <f t="shared" ref="A65:B65" si="19">A64+1</f>
        <v>2029</v>
      </c>
      <c r="B65" s="114">
        <f t="shared" si="19"/>
        <v>70</v>
      </c>
      <c r="C65" s="11">
        <v>0</v>
      </c>
      <c r="D65" s="11">
        <v>0</v>
      </c>
      <c r="E65" s="11">
        <f t="shared" si="11"/>
        <v>22801.861464977097</v>
      </c>
      <c r="F65" s="11">
        <f t="shared" si="11"/>
        <v>17101.396098732821</v>
      </c>
      <c r="G65" s="103">
        <f t="shared" si="5"/>
        <v>74864.162276644929</v>
      </c>
      <c r="H65" s="11">
        <v>0</v>
      </c>
      <c r="I65" s="15">
        <f t="shared" si="1"/>
        <v>114767.41984035485</v>
      </c>
      <c r="J65" s="11">
        <f t="shared" si="12"/>
        <v>141111.21983113282</v>
      </c>
      <c r="K65" s="11">
        <f t="shared" si="6"/>
        <v>24000</v>
      </c>
      <c r="L65" s="39">
        <f t="shared" si="9"/>
        <v>25248.832364878068</v>
      </c>
      <c r="M65" s="11">
        <f t="shared" si="13"/>
        <v>6333.8504069380797</v>
      </c>
      <c r="N65" s="102">
        <f t="shared" si="2"/>
        <v>196693.90260294898</v>
      </c>
      <c r="O65" s="103">
        <f t="shared" si="3"/>
        <v>-81926.482762594125</v>
      </c>
      <c r="P65" s="103">
        <f t="shared" si="7"/>
        <v>1165809.5551814879</v>
      </c>
      <c r="Q65" s="89"/>
    </row>
    <row r="66" spans="1:17">
      <c r="A66" s="114">
        <f t="shared" ref="A66:B66" si="20">A65+1</f>
        <v>2030</v>
      </c>
      <c r="B66" s="114">
        <f t="shared" si="20"/>
        <v>71</v>
      </c>
      <c r="C66" s="11">
        <v>0</v>
      </c>
      <c r="D66" s="11">
        <v>0</v>
      </c>
      <c r="E66" s="11">
        <f t="shared" si="11"/>
        <v>23485.917308926411</v>
      </c>
      <c r="F66" s="11">
        <f t="shared" si="11"/>
        <v>17614.437981694806</v>
      </c>
      <c r="G66" s="103">
        <f t="shared" si="5"/>
        <v>69948.573310889275</v>
      </c>
      <c r="H66" s="11">
        <v>0</v>
      </c>
      <c r="I66" s="15">
        <f t="shared" si="1"/>
        <v>111048.92860151049</v>
      </c>
      <c r="J66" s="11">
        <f t="shared" si="12"/>
        <v>145344.55642606682</v>
      </c>
      <c r="K66" s="11">
        <f t="shared" si="6"/>
        <v>24000</v>
      </c>
      <c r="L66" s="39">
        <f t="shared" si="9"/>
        <v>24430.764292332307</v>
      </c>
      <c r="M66" s="11">
        <f t="shared" si="13"/>
        <v>6523.865919146222</v>
      </c>
      <c r="N66" s="102">
        <f t="shared" si="2"/>
        <v>200299.18663754535</v>
      </c>
      <c r="O66" s="103">
        <f t="shared" si="3"/>
        <v>-89250.258036034866</v>
      </c>
      <c r="P66" s="103">
        <f t="shared" si="7"/>
        <v>1076559.297145453</v>
      </c>
      <c r="Q66" s="89"/>
    </row>
    <row r="67" spans="1:17">
      <c r="A67" s="114">
        <f t="shared" ref="A67:B67" si="21">A66+1</f>
        <v>2031</v>
      </c>
      <c r="B67" s="114">
        <f t="shared" si="21"/>
        <v>72</v>
      </c>
      <c r="C67" s="11">
        <v>0</v>
      </c>
      <c r="D67" s="11">
        <v>0</v>
      </c>
      <c r="E67" s="11">
        <f t="shared" si="11"/>
        <v>24190.494828194205</v>
      </c>
      <c r="F67" s="11">
        <f t="shared" si="11"/>
        <v>18142.87112114565</v>
      </c>
      <c r="G67" s="103">
        <f t="shared" si="5"/>
        <v>64593.557828727178</v>
      </c>
      <c r="H67" s="11">
        <v>0</v>
      </c>
      <c r="I67" s="15">
        <f t="shared" si="1"/>
        <v>106926.92377806704</v>
      </c>
      <c r="J67" s="11">
        <f t="shared" si="12"/>
        <v>149704.89311884882</v>
      </c>
      <c r="K67" s="11">
        <f t="shared" si="6"/>
        <v>24000</v>
      </c>
      <c r="L67" s="39">
        <f t="shared" si="9"/>
        <v>23523.923231174747</v>
      </c>
      <c r="M67" s="11">
        <f t="shared" si="13"/>
        <v>6719.5818967206087</v>
      </c>
      <c r="N67" s="102">
        <f t="shared" si="2"/>
        <v>203948.39824674415</v>
      </c>
      <c r="O67" s="103">
        <f t="shared" si="3"/>
        <v>-97021.474468677116</v>
      </c>
      <c r="P67" s="103">
        <f t="shared" si="7"/>
        <v>979537.82267677598</v>
      </c>
      <c r="Q67" s="89"/>
    </row>
    <row r="68" spans="1:17">
      <c r="A68" s="114">
        <f t="shared" ref="A68:B68" si="22">A67+1</f>
        <v>2032</v>
      </c>
      <c r="B68" s="114">
        <f t="shared" si="22"/>
        <v>73</v>
      </c>
      <c r="C68" s="11">
        <v>0</v>
      </c>
      <c r="D68" s="11">
        <v>0</v>
      </c>
      <c r="E68" s="11">
        <f t="shared" si="11"/>
        <v>24916.209673040034</v>
      </c>
      <c r="F68" s="11">
        <f t="shared" si="11"/>
        <v>18687.157254780021</v>
      </c>
      <c r="G68" s="103">
        <f t="shared" si="5"/>
        <v>58772.269360606559</v>
      </c>
      <c r="H68" s="11">
        <v>0</v>
      </c>
      <c r="I68" s="15">
        <f t="shared" si="1"/>
        <v>102375.63628842661</v>
      </c>
      <c r="J68" s="11">
        <f t="shared" si="12"/>
        <v>154196.0399124143</v>
      </c>
      <c r="K68" s="11">
        <f t="shared" si="6"/>
        <v>24000</v>
      </c>
      <c r="L68" s="39">
        <f t="shared" si="9"/>
        <v>22522.639983453853</v>
      </c>
      <c r="M68" s="11">
        <f t="shared" si="13"/>
        <v>6921.1693536222274</v>
      </c>
      <c r="N68" s="102">
        <f t="shared" si="2"/>
        <v>207639.84924949036</v>
      </c>
      <c r="O68" s="103">
        <f t="shared" si="3"/>
        <v>-105264.21296106375</v>
      </c>
      <c r="P68" s="103">
        <f t="shared" si="7"/>
        <v>874273.60971571226</v>
      </c>
      <c r="Q68" s="89"/>
    </row>
    <row r="69" spans="1:17">
      <c r="A69" s="114">
        <f t="shared" ref="A69:B69" si="23">A68+1</f>
        <v>2033</v>
      </c>
      <c r="B69" s="114">
        <f t="shared" si="23"/>
        <v>74</v>
      </c>
      <c r="C69" s="11">
        <v>0</v>
      </c>
      <c r="D69" s="11">
        <v>0</v>
      </c>
      <c r="E69" s="11">
        <f t="shared" si="11"/>
        <v>25663.695963231236</v>
      </c>
      <c r="F69" s="11">
        <f t="shared" si="11"/>
        <v>19247.771972423423</v>
      </c>
      <c r="G69" s="103">
        <f t="shared" si="5"/>
        <v>52456.416582942737</v>
      </c>
      <c r="H69" s="11">
        <v>0</v>
      </c>
      <c r="I69" s="15">
        <f t="shared" si="1"/>
        <v>97367.884518597391</v>
      </c>
      <c r="J69" s="11">
        <f t="shared" si="12"/>
        <v>158821.92110978672</v>
      </c>
      <c r="K69" s="11">
        <f t="shared" si="6"/>
        <v>24000</v>
      </c>
      <c r="L69" s="39">
        <f t="shared" si="9"/>
        <v>21420.934594091425</v>
      </c>
      <c r="M69" s="11">
        <f t="shared" si="13"/>
        <v>7128.804434230894</v>
      </c>
      <c r="N69" s="102">
        <f t="shared" si="2"/>
        <v>211371.66013810906</v>
      </c>
      <c r="O69" s="103">
        <f t="shared" si="3"/>
        <v>-114003.77561951167</v>
      </c>
      <c r="P69" s="103">
        <f t="shared" si="7"/>
        <v>760269.83409620053</v>
      </c>
      <c r="Q69" s="89"/>
    </row>
    <row r="70" spans="1:17">
      <c r="A70" s="114">
        <f t="shared" ref="A70:B70" si="24">A69+1</f>
        <v>2034</v>
      </c>
      <c r="B70" s="114">
        <f t="shared" si="24"/>
        <v>75</v>
      </c>
      <c r="C70" s="11">
        <v>0</v>
      </c>
      <c r="D70" s="11">
        <v>0</v>
      </c>
      <c r="E70" s="11">
        <f t="shared" si="11"/>
        <v>26433.606842128174</v>
      </c>
      <c r="F70" s="11">
        <f t="shared" si="11"/>
        <v>19825.205131596125</v>
      </c>
      <c r="G70" s="103">
        <f t="shared" si="5"/>
        <v>45616.190045772033</v>
      </c>
      <c r="H70" s="11">
        <v>0</v>
      </c>
      <c r="I70" s="15">
        <f t="shared" si="1"/>
        <v>91875.002019496329</v>
      </c>
      <c r="J70" s="11">
        <f t="shared" si="12"/>
        <v>163586.57874308032</v>
      </c>
      <c r="K70" s="11">
        <f t="shared" si="6"/>
        <v>24000</v>
      </c>
      <c r="L70" s="39">
        <f t="shared" si="9"/>
        <v>20212.500444289191</v>
      </c>
      <c r="M70" s="11">
        <f t="shared" si="13"/>
        <v>7342.6685672578215</v>
      </c>
      <c r="N70" s="102">
        <f t="shared" si="2"/>
        <v>215141.74775462731</v>
      </c>
      <c r="O70" s="103">
        <f t="shared" si="3"/>
        <v>-123266.74573513099</v>
      </c>
      <c r="P70" s="103">
        <f t="shared" si="7"/>
        <v>637003.08836106956</v>
      </c>
      <c r="Q70" s="89"/>
    </row>
    <row r="71" spans="1:17">
      <c r="A71" s="114">
        <f t="shared" ref="A71:B71" si="25">A70+1</f>
        <v>2035</v>
      </c>
      <c r="B71" s="114">
        <f t="shared" si="25"/>
        <v>76</v>
      </c>
      <c r="C71" s="11">
        <v>0</v>
      </c>
      <c r="D71" s="11">
        <v>0</v>
      </c>
      <c r="E71" s="11">
        <f t="shared" si="11"/>
        <v>27226.615047392021</v>
      </c>
      <c r="F71" s="11">
        <f t="shared" si="11"/>
        <v>20419.96128554401</v>
      </c>
      <c r="G71" s="103">
        <f t="shared" si="5"/>
        <v>38220.185301664169</v>
      </c>
      <c r="H71" s="11">
        <v>0</v>
      </c>
      <c r="I71" s="15">
        <f t="shared" si="1"/>
        <v>85866.761634600203</v>
      </c>
      <c r="J71" s="11">
        <f t="shared" si="12"/>
        <v>168494.17610537272</v>
      </c>
      <c r="K71" s="11">
        <f t="shared" si="6"/>
        <v>24000</v>
      </c>
      <c r="L71" s="39">
        <f t="shared" si="9"/>
        <v>18890.687559612044</v>
      </c>
      <c r="M71" s="11">
        <f t="shared" si="13"/>
        <v>7562.9486242755565</v>
      </c>
      <c r="N71" s="102">
        <f t="shared" si="2"/>
        <v>218947.81228926033</v>
      </c>
      <c r="O71" s="103">
        <f t="shared" si="3"/>
        <v>-133081.05065466012</v>
      </c>
      <c r="P71" s="103">
        <f t="shared" si="7"/>
        <v>503922.03770640946</v>
      </c>
      <c r="Q71" s="10"/>
    </row>
    <row r="72" spans="1:17">
      <c r="A72" s="114">
        <f t="shared" ref="A72:B72" si="26">A71+1</f>
        <v>2036</v>
      </c>
      <c r="B72" s="114">
        <f t="shared" si="26"/>
        <v>77</v>
      </c>
      <c r="C72" s="11">
        <v>0</v>
      </c>
      <c r="D72" s="11">
        <v>0</v>
      </c>
      <c r="E72" s="11">
        <f t="shared" si="11"/>
        <v>28043.413498813781</v>
      </c>
      <c r="F72" s="11">
        <f t="shared" si="11"/>
        <v>21032.560124110332</v>
      </c>
      <c r="G72" s="103">
        <f t="shared" si="5"/>
        <v>30235.322262384565</v>
      </c>
      <c r="H72" s="11">
        <v>0</v>
      </c>
      <c r="I72" s="15">
        <f t="shared" si="1"/>
        <v>79311.295885308675</v>
      </c>
      <c r="J72" s="11">
        <f t="shared" si="12"/>
        <v>173549.00138853391</v>
      </c>
      <c r="K72" s="106">
        <v>0</v>
      </c>
      <c r="L72" s="39">
        <f t="shared" si="9"/>
        <v>17448.485094767908</v>
      </c>
      <c r="M72" s="11">
        <f>M71*(1+M$52)/5</f>
        <v>1557.9674166007649</v>
      </c>
      <c r="N72" s="102">
        <f t="shared" si="2"/>
        <v>192555.45389990258</v>
      </c>
      <c r="O72" s="103">
        <f t="shared" si="3"/>
        <v>-113244.15801459391</v>
      </c>
      <c r="P72" s="103">
        <f t="shared" si="7"/>
        <v>390677.87969181559</v>
      </c>
      <c r="Q72" s="105" t="s">
        <v>27</v>
      </c>
    </row>
    <row r="73" spans="1:17">
      <c r="A73" s="114">
        <f t="shared" ref="A73:B73" si="27">A72+1</f>
        <v>2037</v>
      </c>
      <c r="B73" s="114">
        <f t="shared" si="27"/>
        <v>78</v>
      </c>
      <c r="C73" s="11">
        <v>0</v>
      </c>
      <c r="D73" s="11">
        <v>0</v>
      </c>
      <c r="E73" s="11">
        <f t="shared" si="11"/>
        <v>28884.715903778197</v>
      </c>
      <c r="F73" s="11">
        <f t="shared" si="11"/>
        <v>21663.536927833644</v>
      </c>
      <c r="G73" s="103">
        <f t="shared" si="5"/>
        <v>23440.672781508933</v>
      </c>
      <c r="H73" s="11">
        <v>0</v>
      </c>
      <c r="I73" s="15">
        <f t="shared" si="1"/>
        <v>73988.92561312078</v>
      </c>
      <c r="J73" s="11">
        <f t="shared" si="12"/>
        <v>178755.47143018994</v>
      </c>
      <c r="K73" s="11">
        <f t="shared" si="6"/>
        <v>0</v>
      </c>
      <c r="L73" s="39">
        <f t="shared" si="9"/>
        <v>16277.563634886572</v>
      </c>
      <c r="M73" s="11">
        <f t="shared" si="13"/>
        <v>1604.7064390987878</v>
      </c>
      <c r="N73" s="102">
        <f t="shared" si="2"/>
        <v>196637.7415041753</v>
      </c>
      <c r="O73" s="103">
        <f t="shared" si="3"/>
        <v>-122648.81589105452</v>
      </c>
      <c r="P73" s="103">
        <f t="shared" si="7"/>
        <v>268029.06380076107</v>
      </c>
      <c r="Q73" s="10"/>
    </row>
    <row r="74" spans="1:17">
      <c r="A74" s="114">
        <f t="shared" ref="A74:B74" si="28">A73+1</f>
        <v>2038</v>
      </c>
      <c r="B74" s="114">
        <f t="shared" si="28"/>
        <v>79</v>
      </c>
      <c r="C74" s="11">
        <v>0</v>
      </c>
      <c r="D74" s="11">
        <v>0</v>
      </c>
      <c r="E74" s="11">
        <f t="shared" si="11"/>
        <v>29751.257380891544</v>
      </c>
      <c r="F74" s="11">
        <f t="shared" si="11"/>
        <v>22313.443035668653</v>
      </c>
      <c r="G74" s="103">
        <f t="shared" si="5"/>
        <v>16081.743828045663</v>
      </c>
      <c r="H74" s="11">
        <v>0</v>
      </c>
      <c r="I74" s="15">
        <f t="shared" si="1"/>
        <v>68146.444244605867</v>
      </c>
      <c r="J74" s="11">
        <f t="shared" si="12"/>
        <v>184118.13557309564</v>
      </c>
      <c r="K74" s="11">
        <f t="shared" si="6"/>
        <v>0</v>
      </c>
      <c r="L74" s="39">
        <f t="shared" si="9"/>
        <v>14992.217733813291</v>
      </c>
      <c r="M74" s="11">
        <f t="shared" si="13"/>
        <v>1652.8476322717515</v>
      </c>
      <c r="N74" s="102">
        <f t="shared" si="2"/>
        <v>200763.20093918071</v>
      </c>
      <c r="O74" s="103">
        <f t="shared" si="3"/>
        <v>-132616.75669457484</v>
      </c>
      <c r="P74" s="103">
        <f t="shared" si="7"/>
        <v>135412.30710618623</v>
      </c>
      <c r="Q74" s="10"/>
    </row>
    <row r="75" spans="1:17">
      <c r="A75" s="114">
        <f t="shared" ref="A75:B75" si="29">A74+1</f>
        <v>2039</v>
      </c>
      <c r="B75" s="114">
        <f t="shared" si="29"/>
        <v>80</v>
      </c>
      <c r="C75" s="11">
        <v>0</v>
      </c>
      <c r="D75" s="11">
        <v>0</v>
      </c>
      <c r="E75" s="11">
        <f t="shared" si="11"/>
        <v>30643.79510231829</v>
      </c>
      <c r="F75" s="11">
        <f t="shared" si="11"/>
        <v>22982.846326738712</v>
      </c>
      <c r="G75" s="103">
        <f t="shared" si="5"/>
        <v>8124.7384263711738</v>
      </c>
      <c r="H75" s="11">
        <v>0</v>
      </c>
      <c r="I75" s="15">
        <f t="shared" si="1"/>
        <v>61751.379855428175</v>
      </c>
      <c r="J75" s="11">
        <f t="shared" si="12"/>
        <v>189641.67964028852</v>
      </c>
      <c r="K75" s="11">
        <f t="shared" si="6"/>
        <v>0</v>
      </c>
      <c r="L75" s="39">
        <f t="shared" si="9"/>
        <v>13585.303568194198</v>
      </c>
      <c r="M75" s="11">
        <f t="shared" si="13"/>
        <v>1702.4330612399042</v>
      </c>
      <c r="N75" s="102">
        <f t="shared" si="2"/>
        <v>204929.41626972263</v>
      </c>
      <c r="O75" s="103">
        <f t="shared" si="3"/>
        <v>-143178.03641429445</v>
      </c>
      <c r="P75" s="103">
        <f t="shared" si="7"/>
        <v>-7765.7293081082171</v>
      </c>
      <c r="Q75" s="10"/>
    </row>
    <row r="76" spans="1:17">
      <c r="A76" s="114">
        <f t="shared" ref="A76:B76" si="30">A75+1</f>
        <v>2040</v>
      </c>
      <c r="B76" s="114">
        <f t="shared" si="30"/>
        <v>81</v>
      </c>
      <c r="C76" s="11">
        <v>0</v>
      </c>
      <c r="D76" s="11">
        <v>0</v>
      </c>
      <c r="E76" s="11">
        <f t="shared" si="11"/>
        <v>31563.108955387841</v>
      </c>
      <c r="F76" s="11">
        <f t="shared" si="11"/>
        <v>23672.331716540873</v>
      </c>
      <c r="G76" s="103">
        <f t="shared" si="5"/>
        <v>0</v>
      </c>
      <c r="H76" s="11">
        <v>0</v>
      </c>
      <c r="I76" s="15">
        <f t="shared" si="1"/>
        <v>55235.440671928714</v>
      </c>
      <c r="J76" s="11">
        <f t="shared" si="12"/>
        <v>195330.93002949719</v>
      </c>
      <c r="K76" s="11">
        <f t="shared" si="6"/>
        <v>0</v>
      </c>
      <c r="L76" s="39">
        <f t="shared" si="9"/>
        <v>12151.796947824318</v>
      </c>
      <c r="M76" s="11">
        <f t="shared" si="13"/>
        <v>1753.5060530771013</v>
      </c>
      <c r="N76" s="102">
        <f t="shared" si="2"/>
        <v>209236.23303039861</v>
      </c>
      <c r="O76" s="103">
        <f t="shared" si="3"/>
        <v>-154000.79235846989</v>
      </c>
      <c r="P76" s="103">
        <f t="shared" si="7"/>
        <v>-161766.5216665781</v>
      </c>
      <c r="Q76" s="105"/>
    </row>
    <row r="77" spans="1:17">
      <c r="A77" s="114">
        <f t="shared" ref="A77:B77" si="31">A76+1</f>
        <v>2041</v>
      </c>
      <c r="B77" s="114">
        <f t="shared" si="31"/>
        <v>82</v>
      </c>
      <c r="C77" s="11">
        <v>0</v>
      </c>
      <c r="D77" s="11">
        <v>0</v>
      </c>
      <c r="E77" s="11">
        <f t="shared" si="11"/>
        <v>32510.002224049476</v>
      </c>
      <c r="F77" s="11">
        <f t="shared" si="11"/>
        <v>24382.501668037101</v>
      </c>
      <c r="G77" s="103">
        <f t="shared" si="5"/>
        <v>0</v>
      </c>
      <c r="H77" s="11">
        <v>0</v>
      </c>
      <c r="I77" s="15">
        <f t="shared" si="1"/>
        <v>56892.503892086577</v>
      </c>
      <c r="J77" s="11">
        <f t="shared" si="12"/>
        <v>201190.8579303821</v>
      </c>
      <c r="K77" s="11">
        <v>0</v>
      </c>
      <c r="L77" s="39">
        <f t="shared" si="9"/>
        <v>12516.350856259047</v>
      </c>
      <c r="M77" s="11">
        <f t="shared" si="13"/>
        <v>1806.1112346694144</v>
      </c>
      <c r="N77" s="102">
        <f t="shared" si="2"/>
        <v>215513.32002131059</v>
      </c>
      <c r="O77" s="103">
        <f t="shared" si="3"/>
        <v>-158620.81612922403</v>
      </c>
      <c r="P77" s="103">
        <f t="shared" si="7"/>
        <v>-320387.33779580216</v>
      </c>
      <c r="Q77" s="10"/>
    </row>
    <row r="78" spans="1:17">
      <c r="A78" s="114">
        <f t="shared" ref="A78:B78" si="32">A77+1</f>
        <v>2042</v>
      </c>
      <c r="B78" s="114">
        <f t="shared" si="32"/>
        <v>83</v>
      </c>
      <c r="C78" s="11">
        <v>0</v>
      </c>
      <c r="D78" s="11">
        <v>0</v>
      </c>
      <c r="E78" s="11">
        <f t="shared" si="11"/>
        <v>33485.30229077096</v>
      </c>
      <c r="F78" s="11">
        <f t="shared" si="11"/>
        <v>25113.976718078215</v>
      </c>
      <c r="G78" s="103">
        <f t="shared" si="5"/>
        <v>0</v>
      </c>
      <c r="H78" s="11">
        <v>0</v>
      </c>
      <c r="I78" s="15">
        <f t="shared" si="1"/>
        <v>58599.279008849175</v>
      </c>
      <c r="J78" s="11">
        <f t="shared" si="12"/>
        <v>207226.58366829358</v>
      </c>
      <c r="K78" s="11">
        <v>0</v>
      </c>
      <c r="L78" s="39">
        <f t="shared" si="9"/>
        <v>12891.841381946819</v>
      </c>
      <c r="M78" s="11">
        <f t="shared" si="13"/>
        <v>1860.2945717094969</v>
      </c>
      <c r="N78" s="102">
        <f t="shared" si="2"/>
        <v>221978.71962194989</v>
      </c>
      <c r="O78" s="103">
        <f t="shared" si="3"/>
        <v>-163379.44061310071</v>
      </c>
      <c r="P78" s="103">
        <f t="shared" si="7"/>
        <v>-483766.77840890287</v>
      </c>
      <c r="Q78" s="10"/>
    </row>
    <row r="79" spans="1:17">
      <c r="A79" s="114">
        <f t="shared" ref="A79:B79" si="33">A78+1</f>
        <v>2043</v>
      </c>
      <c r="B79" s="114">
        <f t="shared" si="33"/>
        <v>84</v>
      </c>
      <c r="C79" s="11">
        <v>0</v>
      </c>
      <c r="D79" s="11">
        <v>0</v>
      </c>
      <c r="E79" s="11">
        <f t="shared" si="11"/>
        <v>34489.861359494091</v>
      </c>
      <c r="F79" s="11">
        <f t="shared" si="11"/>
        <v>25867.396019620563</v>
      </c>
      <c r="G79" s="103">
        <f t="shared" si="5"/>
        <v>0</v>
      </c>
      <c r="H79" s="11">
        <v>0</v>
      </c>
      <c r="I79" s="15">
        <f t="shared" si="1"/>
        <v>60357.257379114657</v>
      </c>
      <c r="J79" s="11">
        <f t="shared" si="12"/>
        <v>213443.38117834239</v>
      </c>
      <c r="K79" s="11">
        <v>0</v>
      </c>
      <c r="L79" s="39">
        <f t="shared" si="9"/>
        <v>13278.596623405225</v>
      </c>
      <c r="M79" s="11">
        <f t="shared" si="13"/>
        <v>1916.1034088607819</v>
      </c>
      <c r="N79" s="102">
        <f t="shared" si="2"/>
        <v>228638.08121060839</v>
      </c>
      <c r="O79" s="103">
        <f t="shared" si="3"/>
        <v>-168280.82383149373</v>
      </c>
      <c r="P79" s="103">
        <f t="shared" si="7"/>
        <v>-652047.60224039666</v>
      </c>
      <c r="Q79" s="10"/>
    </row>
    <row r="80" spans="1:17">
      <c r="A80" s="114">
        <f t="shared" ref="A80:B80" si="34">A79+1</f>
        <v>2044</v>
      </c>
      <c r="B80" s="114">
        <f t="shared" si="34"/>
        <v>85</v>
      </c>
      <c r="C80" s="11">
        <v>0</v>
      </c>
      <c r="D80" s="11">
        <v>0</v>
      </c>
      <c r="E80" s="11">
        <f t="shared" si="11"/>
        <v>35524.557200278912</v>
      </c>
      <c r="F80" s="11">
        <f t="shared" si="11"/>
        <v>26643.417900209181</v>
      </c>
      <c r="G80" s="103">
        <f t="shared" si="5"/>
        <v>0</v>
      </c>
      <c r="H80" s="11">
        <v>0</v>
      </c>
      <c r="I80" s="15">
        <f t="shared" si="1"/>
        <v>62167.975100488096</v>
      </c>
      <c r="J80" s="11">
        <f t="shared" si="12"/>
        <v>219846.68261369265</v>
      </c>
      <c r="K80" s="11">
        <v>0</v>
      </c>
      <c r="L80" s="39">
        <f t="shared" si="9"/>
        <v>13676.95452210738</v>
      </c>
      <c r="M80" s="11">
        <f t="shared" si="13"/>
        <v>1973.5865111266055</v>
      </c>
      <c r="N80" s="102">
        <f t="shared" si="2"/>
        <v>235497.22364692664</v>
      </c>
      <c r="O80" s="103">
        <f t="shared" si="3"/>
        <v>-173329.24854643852</v>
      </c>
      <c r="P80" s="103">
        <f t="shared" si="7"/>
        <v>-825376.85078683519</v>
      </c>
      <c r="Q80" s="10"/>
    </row>
    <row r="81" spans="1:17">
      <c r="A81" s="114">
        <f t="shared" ref="A81:B81" si="35">A80+1</f>
        <v>2045</v>
      </c>
      <c r="B81" s="114">
        <f t="shared" si="35"/>
        <v>86</v>
      </c>
      <c r="C81" s="11">
        <v>0</v>
      </c>
      <c r="D81" s="11">
        <v>0</v>
      </c>
      <c r="E81" s="11">
        <f t="shared" si="11"/>
        <v>36590.293916287279</v>
      </c>
      <c r="F81" s="11">
        <f t="shared" si="11"/>
        <v>27442.720437215456</v>
      </c>
      <c r="G81" s="103">
        <f t="shared" si="5"/>
        <v>0</v>
      </c>
      <c r="H81" s="11">
        <v>0</v>
      </c>
      <c r="I81" s="15">
        <f t="shared" si="1"/>
        <v>64033.014353502731</v>
      </c>
      <c r="J81" s="11">
        <f t="shared" si="12"/>
        <v>226442.08309210345</v>
      </c>
      <c r="K81" s="11">
        <v>0</v>
      </c>
      <c r="L81" s="39">
        <f t="shared" si="9"/>
        <v>14087.263157770602</v>
      </c>
      <c r="M81" s="11">
        <f t="shared" si="13"/>
        <v>2032.7941064604038</v>
      </c>
      <c r="N81" s="102">
        <f t="shared" si="2"/>
        <v>242562.14035633445</v>
      </c>
      <c r="O81" s="103">
        <f t="shared" si="3"/>
        <v>-178529.12600283173</v>
      </c>
      <c r="P81" s="103">
        <f t="shared" si="7"/>
        <v>-1003905.9767896669</v>
      </c>
      <c r="Q81" s="10"/>
    </row>
    <row r="82" spans="1:17">
      <c r="A82" s="114">
        <f t="shared" ref="A82:B82" si="36">A81+1</f>
        <v>2046</v>
      </c>
      <c r="B82" s="114">
        <f t="shared" si="36"/>
        <v>87</v>
      </c>
      <c r="C82" s="11">
        <v>0</v>
      </c>
      <c r="D82" s="11">
        <v>0</v>
      </c>
      <c r="E82" s="11">
        <f t="shared" si="11"/>
        <v>37688.002733775895</v>
      </c>
      <c r="F82" s="11">
        <f t="shared" si="11"/>
        <v>28266.002050331921</v>
      </c>
      <c r="G82" s="103">
        <f t="shared" si="5"/>
        <v>0</v>
      </c>
      <c r="H82" s="11">
        <v>0</v>
      </c>
      <c r="I82" s="15">
        <f t="shared" si="1"/>
        <v>65954.004784107819</v>
      </c>
      <c r="J82" s="11">
        <f t="shared" si="12"/>
        <v>233235.34558486656</v>
      </c>
      <c r="K82" s="11">
        <v>0</v>
      </c>
      <c r="L82" s="39">
        <f t="shared" si="9"/>
        <v>14509.881052503721</v>
      </c>
      <c r="M82" s="11">
        <f t="shared" si="13"/>
        <v>2093.7779296542158</v>
      </c>
      <c r="N82" s="102">
        <f t="shared" si="2"/>
        <v>249839.0045670245</v>
      </c>
      <c r="O82" s="103">
        <f t="shared" si="3"/>
        <v>-183884.99978291668</v>
      </c>
      <c r="P82" s="103">
        <f t="shared" si="7"/>
        <v>-1187790.9765725837</v>
      </c>
      <c r="Q82" s="10"/>
    </row>
    <row r="83" spans="1:17">
      <c r="A83" s="114">
        <f t="shared" ref="A83:B83" si="37">A82+1</f>
        <v>2047</v>
      </c>
      <c r="B83" s="114">
        <f t="shared" si="37"/>
        <v>88</v>
      </c>
      <c r="C83" s="11">
        <v>0</v>
      </c>
      <c r="D83" s="11">
        <v>0</v>
      </c>
      <c r="E83" s="11">
        <f t="shared" si="11"/>
        <v>38818.642815789171</v>
      </c>
      <c r="F83" s="11">
        <f t="shared" si="11"/>
        <v>29113.98211184188</v>
      </c>
      <c r="G83" s="103">
        <f t="shared" si="5"/>
        <v>0</v>
      </c>
      <c r="H83" s="11">
        <v>0</v>
      </c>
      <c r="I83" s="15">
        <f t="shared" si="1"/>
        <v>67932.624927631055</v>
      </c>
      <c r="J83" s="11">
        <f t="shared" si="12"/>
        <v>240232.40595241258</v>
      </c>
      <c r="K83" s="11">
        <v>0</v>
      </c>
      <c r="L83" s="39">
        <f t="shared" si="9"/>
        <v>14945.177484078833</v>
      </c>
      <c r="M83" s="11">
        <f t="shared" si="13"/>
        <v>2156.5912675438422</v>
      </c>
      <c r="N83" s="102">
        <f t="shared" si="2"/>
        <v>257334.17470403525</v>
      </c>
      <c r="O83" s="103">
        <f t="shared" si="3"/>
        <v>-189401.54977640419</v>
      </c>
      <c r="P83" s="103">
        <f t="shared" si="7"/>
        <v>-1377192.5263489878</v>
      </c>
      <c r="Q83" s="10"/>
    </row>
    <row r="84" spans="1:17">
      <c r="A84" s="114">
        <f t="shared" ref="A84:B84" si="38">A83+1</f>
        <v>2048</v>
      </c>
      <c r="B84" s="114">
        <f t="shared" si="38"/>
        <v>89</v>
      </c>
      <c r="C84" s="11">
        <v>0</v>
      </c>
      <c r="D84" s="11">
        <v>0</v>
      </c>
      <c r="E84" s="11">
        <f t="shared" si="11"/>
        <v>39983.202100262846</v>
      </c>
      <c r="F84" s="11">
        <f t="shared" si="11"/>
        <v>29987.401575197138</v>
      </c>
      <c r="G84" s="103">
        <f t="shared" si="5"/>
        <v>0</v>
      </c>
      <c r="H84" s="11">
        <v>0</v>
      </c>
      <c r="I84" s="15">
        <f t="shared" si="1"/>
        <v>69970.603675459977</v>
      </c>
      <c r="J84" s="11">
        <f t="shared" si="12"/>
        <v>247439.37813098496</v>
      </c>
      <c r="K84" s="11">
        <v>0</v>
      </c>
      <c r="L84" s="39">
        <f t="shared" si="9"/>
        <v>15393.532808601196</v>
      </c>
      <c r="M84" s="11">
        <f t="shared" si="13"/>
        <v>2221.2890055701573</v>
      </c>
      <c r="N84" s="102">
        <f t="shared" si="2"/>
        <v>265054.19994515635</v>
      </c>
      <c r="O84" s="103">
        <f t="shared" si="3"/>
        <v>-195083.59626969637</v>
      </c>
      <c r="P84" s="103">
        <f t="shared" si="7"/>
        <v>-1572276.1226186841</v>
      </c>
      <c r="Q84" s="10"/>
    </row>
    <row r="85" spans="1:17">
      <c r="A85" s="114">
        <f t="shared" ref="A85:B85" si="39">A84+1</f>
        <v>2049</v>
      </c>
      <c r="B85" s="114">
        <f t="shared" si="39"/>
        <v>90</v>
      </c>
      <c r="C85" s="11">
        <v>0</v>
      </c>
      <c r="D85" s="11">
        <v>0</v>
      </c>
      <c r="E85" s="11">
        <f t="shared" si="11"/>
        <v>41182.698163270732</v>
      </c>
      <c r="F85" s="11">
        <f t="shared" si="11"/>
        <v>30887.023622453053</v>
      </c>
      <c r="G85" s="103">
        <f t="shared" si="5"/>
        <v>0</v>
      </c>
      <c r="H85" s="11">
        <v>0</v>
      </c>
      <c r="I85" s="15">
        <f t="shared" si="1"/>
        <v>72069.721785723785</v>
      </c>
      <c r="J85" s="11">
        <f t="shared" si="12"/>
        <v>254862.55947491451</v>
      </c>
      <c r="K85" s="11">
        <v>0</v>
      </c>
      <c r="L85" s="39">
        <f t="shared" si="9"/>
        <v>15855.338792859233</v>
      </c>
      <c r="M85" s="11">
        <f t="shared" si="13"/>
        <v>2287.9276757372622</v>
      </c>
      <c r="N85" s="102">
        <f t="shared" si="2"/>
        <v>273005.82594351098</v>
      </c>
      <c r="O85" s="103">
        <f t="shared" si="3"/>
        <v>-200936.10415778719</v>
      </c>
      <c r="P85" s="103">
        <f t="shared" si="7"/>
        <v>-1773212.2267764714</v>
      </c>
      <c r="Q85" s="105"/>
    </row>
    <row r="86" spans="1:17">
      <c r="A86" s="114">
        <f t="shared" ref="A86:B86" si="40">A85+1</f>
        <v>2050</v>
      </c>
      <c r="B86" s="114">
        <f t="shared" si="40"/>
        <v>91</v>
      </c>
      <c r="C86" s="11">
        <v>0</v>
      </c>
      <c r="D86" s="11">
        <v>0</v>
      </c>
      <c r="E86" s="11">
        <f t="shared" si="11"/>
        <v>42418.179108168857</v>
      </c>
      <c r="F86" s="11">
        <f t="shared" si="11"/>
        <v>31813.634331126646</v>
      </c>
      <c r="G86" s="103">
        <f t="shared" si="5"/>
        <v>0</v>
      </c>
      <c r="H86" s="11">
        <v>0</v>
      </c>
      <c r="I86" s="15">
        <f t="shared" si="1"/>
        <v>74231.813439295511</v>
      </c>
      <c r="J86" s="11">
        <f t="shared" si="12"/>
        <v>262508.43625916197</v>
      </c>
      <c r="K86" s="11">
        <v>0</v>
      </c>
      <c r="L86" s="39">
        <f t="shared" si="9"/>
        <v>16330.998956645013</v>
      </c>
      <c r="M86" s="106">
        <v>50000</v>
      </c>
      <c r="N86" s="102">
        <f t="shared" si="2"/>
        <v>328839.435215807</v>
      </c>
      <c r="O86" s="103">
        <f t="shared" si="3"/>
        <v>-254607.62177651149</v>
      </c>
      <c r="P86" s="103">
        <f t="shared" si="7"/>
        <v>-2027819.8485529828</v>
      </c>
      <c r="Q86" s="88" t="s">
        <v>28</v>
      </c>
    </row>
    <row r="87" spans="1:17">
      <c r="A87" s="114">
        <f t="shared" ref="A87:B87" si="41">A86+1</f>
        <v>2051</v>
      </c>
      <c r="B87" s="114">
        <f t="shared" si="41"/>
        <v>92</v>
      </c>
      <c r="C87" s="11">
        <v>0</v>
      </c>
      <c r="D87" s="11">
        <v>0</v>
      </c>
      <c r="E87" s="11">
        <f t="shared" si="11"/>
        <v>43690.724481413927</v>
      </c>
      <c r="F87" s="11">
        <f t="shared" si="11"/>
        <v>32768.043361060445</v>
      </c>
      <c r="G87" s="103">
        <f t="shared" si="5"/>
        <v>0</v>
      </c>
      <c r="H87" s="11">
        <v>0</v>
      </c>
      <c r="I87" s="15">
        <f t="shared" si="1"/>
        <v>76458.767842474364</v>
      </c>
      <c r="J87" s="11">
        <f t="shared" si="12"/>
        <v>270383.68934693682</v>
      </c>
      <c r="K87" s="11">
        <v>0</v>
      </c>
      <c r="L87" s="39">
        <f t="shared" si="9"/>
        <v>16820.92892534436</v>
      </c>
      <c r="M87" s="11">
        <f t="shared" si="13"/>
        <v>51500</v>
      </c>
      <c r="N87" s="102">
        <f t="shared" si="2"/>
        <v>338704.61827228119</v>
      </c>
      <c r="O87" s="103">
        <f t="shared" si="3"/>
        <v>-262245.85042980686</v>
      </c>
      <c r="P87" s="103">
        <f t="shared" si="7"/>
        <v>-2290065.6989827896</v>
      </c>
      <c r="Q87" s="10"/>
    </row>
    <row r="88" spans="1:17">
      <c r="A88" s="114">
        <f t="shared" ref="A88:B88" si="42">A87+1</f>
        <v>2052</v>
      </c>
      <c r="B88" s="114">
        <f t="shared" si="42"/>
        <v>93</v>
      </c>
      <c r="C88" s="11">
        <v>0</v>
      </c>
      <c r="D88" s="11">
        <v>0</v>
      </c>
      <c r="E88" s="11">
        <f t="shared" si="11"/>
        <v>45001.446215856347</v>
      </c>
      <c r="F88" s="11">
        <f t="shared" si="11"/>
        <v>33751.084661892259</v>
      </c>
      <c r="G88" s="103">
        <f t="shared" si="5"/>
        <v>0</v>
      </c>
      <c r="H88" s="11">
        <v>0</v>
      </c>
      <c r="I88" s="15">
        <f t="shared" si="1"/>
        <v>78752.530877748606</v>
      </c>
      <c r="J88" s="11">
        <f t="shared" si="12"/>
        <v>278495.20002734492</v>
      </c>
      <c r="K88" s="11">
        <v>0</v>
      </c>
      <c r="L88" s="39">
        <f t="shared" si="9"/>
        <v>17325.556793104693</v>
      </c>
      <c r="M88" s="11">
        <f t="shared" si="13"/>
        <v>53045</v>
      </c>
      <c r="N88" s="102">
        <f t="shared" si="2"/>
        <v>348865.75682044961</v>
      </c>
      <c r="O88" s="103">
        <f t="shared" si="3"/>
        <v>-270113.22594270098</v>
      </c>
      <c r="P88" s="103">
        <f t="shared" si="7"/>
        <v>-2560178.9249254907</v>
      </c>
      <c r="Q88" s="10"/>
    </row>
    <row r="89" spans="1:17">
      <c r="A89" s="114">
        <f t="shared" ref="A89:B89" si="43">A88+1</f>
        <v>2053</v>
      </c>
      <c r="B89" s="114">
        <f t="shared" si="43"/>
        <v>94</v>
      </c>
      <c r="C89" s="11">
        <v>0</v>
      </c>
      <c r="D89" s="11">
        <v>0</v>
      </c>
      <c r="E89" s="11">
        <f t="shared" si="11"/>
        <v>46351.48960233204</v>
      </c>
      <c r="F89" s="11">
        <f t="shared" si="11"/>
        <v>34763.617201749024</v>
      </c>
      <c r="G89" s="103">
        <f t="shared" si="5"/>
        <v>0</v>
      </c>
      <c r="H89" s="11">
        <v>0</v>
      </c>
      <c r="I89" s="15">
        <f t="shared" si="1"/>
        <v>81115.106804081064</v>
      </c>
      <c r="J89" s="11">
        <f t="shared" si="12"/>
        <v>286850.05602816527</v>
      </c>
      <c r="K89" s="11">
        <v>0</v>
      </c>
      <c r="L89" s="39">
        <f t="shared" si="9"/>
        <v>17845.323496897836</v>
      </c>
      <c r="M89" s="11">
        <f t="shared" si="13"/>
        <v>54636.35</v>
      </c>
      <c r="N89" s="102">
        <f t="shared" si="2"/>
        <v>359331.72952506307</v>
      </c>
      <c r="O89" s="103">
        <f t="shared" si="3"/>
        <v>-278216.62272098201</v>
      </c>
      <c r="P89" s="103">
        <f t="shared" si="7"/>
        <v>-2838395.5476464727</v>
      </c>
      <c r="Q89" s="10"/>
    </row>
    <row r="90" spans="1:17">
      <c r="A90" s="114">
        <f t="shared" ref="A90:B90" si="44">A89+1</f>
        <v>2054</v>
      </c>
      <c r="B90" s="114">
        <f t="shared" si="44"/>
        <v>95</v>
      </c>
      <c r="C90" s="11">
        <v>0</v>
      </c>
      <c r="D90" s="11">
        <v>0</v>
      </c>
      <c r="E90" s="11">
        <f t="shared" si="11"/>
        <v>47742.034290402</v>
      </c>
      <c r="F90" s="11">
        <f t="shared" si="11"/>
        <v>35806.525717801494</v>
      </c>
      <c r="G90" s="103">
        <f t="shared" si="5"/>
        <v>0</v>
      </c>
      <c r="H90" s="11">
        <v>0</v>
      </c>
      <c r="I90" s="15">
        <f t="shared" si="1"/>
        <v>83548.560008203494</v>
      </c>
      <c r="J90" s="11">
        <f t="shared" si="12"/>
        <v>295455.55770901026</v>
      </c>
      <c r="K90" s="11">
        <v>0</v>
      </c>
      <c r="L90" s="39">
        <f t="shared" si="9"/>
        <v>18380.683201804768</v>
      </c>
      <c r="M90" s="11">
        <f t="shared" si="13"/>
        <v>56275.440499999997</v>
      </c>
      <c r="N90" s="102">
        <f t="shared" si="2"/>
        <v>370111.68141081498</v>
      </c>
      <c r="O90" s="103">
        <f t="shared" si="3"/>
        <v>-286563.12140261149</v>
      </c>
      <c r="P90" s="103">
        <f t="shared" si="7"/>
        <v>-3124958.6690490842</v>
      </c>
      <c r="Q90" s="10"/>
    </row>
    <row r="91" spans="1:17">
      <c r="A91" s="114">
        <f t="shared" ref="A91:B91" si="45">A90+1</f>
        <v>2055</v>
      </c>
      <c r="B91" s="114">
        <f t="shared" si="45"/>
        <v>96</v>
      </c>
      <c r="C91" s="11">
        <v>0</v>
      </c>
      <c r="D91" s="11">
        <v>0</v>
      </c>
      <c r="E91" s="11">
        <f t="shared" si="11"/>
        <v>49174.295319114062</v>
      </c>
      <c r="F91" s="11">
        <f t="shared" si="11"/>
        <v>36880.721489335541</v>
      </c>
      <c r="G91" s="103">
        <f t="shared" si="5"/>
        <v>0</v>
      </c>
      <c r="H91" s="11">
        <v>0</v>
      </c>
      <c r="I91" s="15">
        <f t="shared" si="1"/>
        <v>86055.016808449611</v>
      </c>
      <c r="J91" s="11">
        <f t="shared" si="12"/>
        <v>304319.22444028058</v>
      </c>
      <c r="K91" s="11">
        <v>0</v>
      </c>
      <c r="L91" s="39">
        <f t="shared" si="9"/>
        <v>18932.103697858915</v>
      </c>
      <c r="M91" s="11">
        <f t="shared" si="13"/>
        <v>57963.703714999996</v>
      </c>
      <c r="N91" s="102">
        <f t="shared" si="2"/>
        <v>381215.03185313952</v>
      </c>
      <c r="O91" s="103">
        <f t="shared" si="3"/>
        <v>-295160.01504468988</v>
      </c>
      <c r="P91" s="103">
        <f t="shared" si="7"/>
        <v>-3420118.6840937743</v>
      </c>
      <c r="Q91" s="89"/>
    </row>
    <row r="92" spans="1:17">
      <c r="A92" s="114">
        <f t="shared" ref="A92:B92" si="46">A91+1</f>
        <v>2056</v>
      </c>
      <c r="B92" s="114">
        <f t="shared" si="46"/>
        <v>97</v>
      </c>
      <c r="C92" s="11">
        <v>0</v>
      </c>
      <c r="D92" s="11">
        <v>0</v>
      </c>
      <c r="E92" s="11">
        <f t="shared" si="11"/>
        <v>50649.524178687483</v>
      </c>
      <c r="F92" s="11">
        <f t="shared" si="11"/>
        <v>37987.143134015605</v>
      </c>
      <c r="G92" s="103">
        <f>IF(P91&gt;0,P91*G$52,0)</f>
        <v>0</v>
      </c>
      <c r="H92" s="11">
        <v>0</v>
      </c>
      <c r="I92" s="15">
        <f t="shared" si="1"/>
        <v>88636.667312703095</v>
      </c>
      <c r="J92" s="11">
        <f t="shared" si="12"/>
        <v>313448.80117348902</v>
      </c>
      <c r="K92" s="11">
        <v>0</v>
      </c>
      <c r="L92" s="39">
        <f t="shared" si="9"/>
        <v>19500.06680879468</v>
      </c>
      <c r="M92" s="11">
        <f t="shared" si="13"/>
        <v>59702.614826450001</v>
      </c>
      <c r="N92" s="102">
        <f>SUM(J92:M92)</f>
        <v>392651.48280873371</v>
      </c>
      <c r="O92" s="103">
        <f>I92-N92</f>
        <v>-304014.81549603061</v>
      </c>
      <c r="P92" s="103">
        <f>P91+O92</f>
        <v>-3724133.499589805</v>
      </c>
      <c r="Q92" s="89"/>
    </row>
    <row r="93" spans="1:17">
      <c r="A93" s="114">
        <f t="shared" ref="A93:B93" si="47">A92+1</f>
        <v>2057</v>
      </c>
      <c r="B93" s="114">
        <f t="shared" si="47"/>
        <v>98</v>
      </c>
      <c r="C93" s="11">
        <v>0</v>
      </c>
      <c r="D93" s="11">
        <v>0</v>
      </c>
      <c r="E93" s="11">
        <f t="shared" si="11"/>
        <v>52169.009904048107</v>
      </c>
      <c r="F93" s="11">
        <f t="shared" si="11"/>
        <v>39126.757428036071</v>
      </c>
      <c r="G93" s="103">
        <f>IF(P92&gt;0,P92*G$52,0)</f>
        <v>0</v>
      </c>
      <c r="H93" s="11">
        <v>0</v>
      </c>
      <c r="I93" s="15">
        <f t="shared" si="1"/>
        <v>91295.767332084186</v>
      </c>
      <c r="J93" s="11">
        <f t="shared" si="12"/>
        <v>322852.26520869369</v>
      </c>
      <c r="K93" s="11">
        <v>0</v>
      </c>
      <c r="L93" s="39">
        <f t="shared" si="9"/>
        <v>20085.068813058522</v>
      </c>
      <c r="M93" s="11">
        <f t="shared" si="13"/>
        <v>61493.693271243501</v>
      </c>
      <c r="N93" s="102">
        <f>SUM(J93:M93)</f>
        <v>404431.02729299571</v>
      </c>
      <c r="O93" s="103">
        <f>I93-N93</f>
        <v>-313135.25996091153</v>
      </c>
      <c r="P93" s="103">
        <f>P92+O93</f>
        <v>-4037268.7595507167</v>
      </c>
      <c r="Q93" s="89"/>
    </row>
    <row r="94" spans="1:17">
      <c r="A94" s="114">
        <f t="shared" ref="A94:B94" si="48">A93+1</f>
        <v>2058</v>
      </c>
      <c r="B94" s="114">
        <f t="shared" si="48"/>
        <v>99</v>
      </c>
      <c r="C94" s="11">
        <v>0</v>
      </c>
      <c r="D94" s="11">
        <v>0</v>
      </c>
      <c r="E94" s="11">
        <f t="shared" si="11"/>
        <v>53734.080201169549</v>
      </c>
      <c r="F94" s="11">
        <f t="shared" si="11"/>
        <v>40300.560150877158</v>
      </c>
      <c r="G94" s="103">
        <f>IF(P93&gt;0,P93*G$52,0)</f>
        <v>0</v>
      </c>
      <c r="H94" s="11">
        <v>0</v>
      </c>
      <c r="I94" s="15">
        <f t="shared" si="1"/>
        <v>94034.640352046699</v>
      </c>
      <c r="J94" s="11">
        <f t="shared" si="12"/>
        <v>332537.8331649545</v>
      </c>
      <c r="K94" s="11">
        <v>0</v>
      </c>
      <c r="L94" s="39">
        <f t="shared" si="9"/>
        <v>20687.620877450274</v>
      </c>
      <c r="M94" s="11">
        <f t="shared" si="13"/>
        <v>63338.504069380804</v>
      </c>
      <c r="N94" s="102">
        <f>SUM(J94:M94)</f>
        <v>416563.95811178559</v>
      </c>
      <c r="O94" s="103">
        <f>I94-N94</f>
        <v>-322529.31775973889</v>
      </c>
      <c r="P94" s="103">
        <f>P93+O94</f>
        <v>-4359798.077310456</v>
      </c>
      <c r="Q94" s="89"/>
    </row>
    <row r="95" spans="1:17">
      <c r="A95" s="114">
        <f t="shared" ref="A95:B95" si="49">A94+1</f>
        <v>2059</v>
      </c>
      <c r="B95" s="114">
        <f t="shared" si="49"/>
        <v>100</v>
      </c>
      <c r="C95" s="11">
        <v>0</v>
      </c>
      <c r="D95" s="11">
        <v>0</v>
      </c>
      <c r="E95" s="11">
        <f t="shared" si="11"/>
        <v>55346.102607204637</v>
      </c>
      <c r="F95" s="11">
        <f t="shared" si="11"/>
        <v>41509.57695540347</v>
      </c>
      <c r="G95" s="103">
        <f>IF(P94&gt;0,P94*G$52,0)</f>
        <v>0</v>
      </c>
      <c r="H95" s="11">
        <v>0</v>
      </c>
      <c r="I95" s="15">
        <f>SUM(C95:H95)</f>
        <v>96855.6795626081</v>
      </c>
      <c r="J95" s="11">
        <f t="shared" si="12"/>
        <v>342513.96815990313</v>
      </c>
      <c r="K95" s="11">
        <v>0</v>
      </c>
      <c r="L95" s="39">
        <f>I95*L$52</f>
        <v>21308.249503773783</v>
      </c>
      <c r="M95" s="11">
        <f t="shared" si="13"/>
        <v>65238.659191462233</v>
      </c>
      <c r="N95" s="102">
        <f>SUM(J95:M95)</f>
        <v>429060.87685513915</v>
      </c>
      <c r="O95" s="103">
        <f>I95-N95</f>
        <v>-332205.19729253103</v>
      </c>
      <c r="P95" s="103">
        <f>P94+O95</f>
        <v>-4692003.2746029869</v>
      </c>
      <c r="Q95" s="89"/>
    </row>
    <row r="96" spans="1:17" s="54" customFormat="1">
      <c r="A96" s="10"/>
      <c r="B96" s="13"/>
      <c r="C96" s="89"/>
      <c r="D96" s="89"/>
      <c r="E96" s="89"/>
      <c r="F96" s="89"/>
      <c r="G96" s="89"/>
      <c r="H96" s="89"/>
      <c r="I96" s="89"/>
      <c r="J96" s="89"/>
      <c r="K96" s="89"/>
      <c r="L96" s="89"/>
      <c r="M96" s="89"/>
      <c r="N96" s="89"/>
      <c r="O96" s="89"/>
      <c r="P96" s="89"/>
      <c r="Q96" s="89"/>
    </row>
    <row r="97" spans="1:17">
      <c r="A97" s="134"/>
      <c r="B97" s="134"/>
      <c r="C97" s="134"/>
      <c r="D97" s="134"/>
      <c r="E97" s="134"/>
      <c r="F97" s="134"/>
      <c r="G97" s="134"/>
      <c r="H97" s="134"/>
      <c r="I97" s="134"/>
      <c r="J97" s="134"/>
      <c r="K97" s="134"/>
      <c r="L97" s="134"/>
      <c r="M97" s="134"/>
      <c r="N97" s="134"/>
      <c r="O97" s="134"/>
      <c r="P97" s="134"/>
      <c r="Q97" s="134"/>
    </row>
  </sheetData>
  <sheetCalcPr fullCalcOnLoad="1"/>
  <mergeCells count="4">
    <mergeCell ref="A1:Q1"/>
    <mergeCell ref="A46:Q46"/>
    <mergeCell ref="A97:Q97"/>
    <mergeCell ref="A50:Q50"/>
  </mergeCells>
  <phoneticPr fontId="2" type="noConversion"/>
  <pageMargins left="0.25" right="0.25" top="1.25" bottom="0.25" header="0.5" footer="0.5"/>
  <rowBreaks count="2" manualBreakCount="2">
    <brk id="47" max="16383" man="1" pt="1"/>
    <brk id="98" max="16383" man="1" pt="1"/>
  </rowBreaks>
  <colBreaks count="1" manualBreakCount="1">
    <brk id="17" max="1048575" man="1"/>
  </colBreaks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Q98"/>
  <sheetViews>
    <sheetView zoomScale="125" workbookViewId="0">
      <selection sqref="A1:Q1"/>
    </sheetView>
  </sheetViews>
  <sheetFormatPr baseColWidth="10" defaultRowHeight="13"/>
  <cols>
    <col min="1" max="1" width="7.85546875" customWidth="1"/>
    <col min="2" max="2" width="5.7109375" customWidth="1"/>
    <col min="3" max="14" width="7.85546875" customWidth="1"/>
    <col min="15" max="15" width="8.5703125" customWidth="1"/>
    <col min="16" max="16" width="10" customWidth="1"/>
    <col min="17" max="17" width="15" customWidth="1"/>
  </cols>
  <sheetData>
    <row r="1" spans="1:17" ht="18">
      <c r="A1" s="131" t="s">
        <v>73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2"/>
      <c r="P1" s="138"/>
      <c r="Q1" s="138"/>
    </row>
    <row r="2" spans="1:17">
      <c r="L2" s="2"/>
    </row>
    <row r="3" spans="1:17" ht="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7" ht="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7" ht="1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7" ht="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7" ht="1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7" ht="1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7" ht="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7" ht="1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7" ht="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7" ht="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7" ht="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7" ht="1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7" ht="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7" ht="1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ht="1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ht="1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ht="1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ht="1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ht="1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ht="1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ht="1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ht="1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 ht="1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3" ht="1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 ht="1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 ht="1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ht="1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 ht="1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3" ht="1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ht="1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7" ht="1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7" ht="1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 spans="1:17" ht="1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1:17" ht="1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1:17" ht="1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1:17" ht="1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 spans="1:17" ht="1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 spans="1:17" ht="1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7" ht="1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7" ht="1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</row>
    <row r="43" spans="1:17">
      <c r="J43" s="2"/>
      <c r="L43" s="5"/>
    </row>
    <row r="44" spans="1:17">
      <c r="J44" s="2"/>
      <c r="L44" s="5"/>
    </row>
    <row r="45" spans="1:17">
      <c r="J45" s="2"/>
      <c r="L45" s="5"/>
    </row>
    <row r="46" spans="1:17">
      <c r="A46" s="133"/>
      <c r="B46" s="133"/>
      <c r="C46" s="133"/>
      <c r="D46" s="133"/>
      <c r="E46" s="133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7"/>
      <c r="Q46" s="137"/>
    </row>
    <row r="47" spans="1:17">
      <c r="J47" s="2"/>
      <c r="L47" s="5"/>
    </row>
    <row r="48" spans="1:17">
      <c r="J48" s="2"/>
      <c r="L48" s="5"/>
    </row>
    <row r="49" spans="1:17">
      <c r="A49" s="17"/>
      <c r="J49" s="2"/>
      <c r="L49" s="5"/>
    </row>
    <row r="50" spans="1:17" ht="18">
      <c r="A50" s="135" t="str">
        <f>A1</f>
        <v>Scenario 2:  Jane retires at age 62, John at age 66.</v>
      </c>
      <c r="B50" s="135"/>
      <c r="C50" s="135"/>
      <c r="D50" s="135"/>
      <c r="E50" s="135"/>
      <c r="F50" s="135"/>
      <c r="G50" s="135"/>
      <c r="H50" s="135"/>
      <c r="I50" s="135"/>
      <c r="J50" s="135"/>
      <c r="K50" s="135"/>
      <c r="L50" s="135"/>
      <c r="M50" s="135"/>
      <c r="N50" s="135"/>
      <c r="O50" s="135"/>
      <c r="P50" s="135"/>
      <c r="Q50" s="135"/>
    </row>
    <row r="51" spans="1:17">
      <c r="A51" s="89"/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107"/>
      <c r="M51" s="89"/>
      <c r="N51" s="5"/>
      <c r="O51" s="89"/>
      <c r="P51" s="89"/>
      <c r="Q51" s="89"/>
    </row>
    <row r="52" spans="1:17">
      <c r="A52" s="49"/>
      <c r="B52" s="91" t="s">
        <v>199</v>
      </c>
      <c r="C52" s="95">
        <v>0.03</v>
      </c>
      <c r="D52" s="95">
        <v>0.03</v>
      </c>
      <c r="E52" s="95">
        <v>0.03</v>
      </c>
      <c r="F52" s="95">
        <v>0.03</v>
      </c>
      <c r="G52" s="96">
        <v>0.06</v>
      </c>
      <c r="H52" s="95">
        <v>0.03</v>
      </c>
      <c r="I52" s="92"/>
      <c r="J52" s="95">
        <v>0.03</v>
      </c>
      <c r="K52" s="95"/>
      <c r="L52" s="97">
        <v>0.22</v>
      </c>
      <c r="M52" s="95">
        <v>0.03</v>
      </c>
      <c r="N52" s="98"/>
      <c r="O52" s="98"/>
      <c r="P52" s="89"/>
      <c r="Q52" s="89"/>
    </row>
    <row r="53" spans="1:17" s="54" customFormat="1">
      <c r="A53" s="49"/>
      <c r="B53" s="91"/>
      <c r="C53" s="92"/>
      <c r="D53" s="92"/>
      <c r="E53" s="92"/>
      <c r="F53" s="99"/>
      <c r="G53" s="96"/>
      <c r="H53" s="99"/>
      <c r="I53" s="92"/>
      <c r="J53" s="99"/>
      <c r="K53" s="100"/>
      <c r="L53" s="99"/>
      <c r="M53" s="99"/>
      <c r="N53" s="98"/>
      <c r="O53" s="98"/>
      <c r="P53" s="6" t="s">
        <v>53</v>
      </c>
      <c r="Q53" s="89"/>
    </row>
    <row r="54" spans="1:17">
      <c r="A54" s="7" t="s">
        <v>54</v>
      </c>
      <c r="B54" s="16" t="s">
        <v>200</v>
      </c>
      <c r="C54" s="9" t="s">
        <v>11</v>
      </c>
      <c r="D54" s="9" t="s">
        <v>13</v>
      </c>
      <c r="E54" s="73" t="s">
        <v>14</v>
      </c>
      <c r="F54" s="9" t="s">
        <v>15</v>
      </c>
      <c r="G54" s="6" t="s">
        <v>16</v>
      </c>
      <c r="H54" s="9" t="s">
        <v>17</v>
      </c>
      <c r="I54" s="14" t="s">
        <v>18</v>
      </c>
      <c r="J54" s="9" t="s">
        <v>19</v>
      </c>
      <c r="K54" s="9" t="s">
        <v>20</v>
      </c>
      <c r="L54" s="9" t="s">
        <v>21</v>
      </c>
      <c r="M54" s="9" t="s">
        <v>22</v>
      </c>
      <c r="N54" s="14" t="s">
        <v>23</v>
      </c>
      <c r="O54" s="9" t="s">
        <v>24</v>
      </c>
      <c r="P54" s="6" t="s">
        <v>25</v>
      </c>
      <c r="Q54" s="8" t="s">
        <v>43</v>
      </c>
    </row>
    <row r="55" spans="1:17">
      <c r="A55" s="114">
        <v>2019</v>
      </c>
      <c r="B55" s="101">
        <f>A55-1959</f>
        <v>60</v>
      </c>
      <c r="C55" s="11">
        <f>IncExp!G4</f>
        <v>120000</v>
      </c>
      <c r="D55" s="11">
        <f>IncExp!G5</f>
        <v>90000</v>
      </c>
      <c r="E55" s="39">
        <v>0</v>
      </c>
      <c r="F55" s="11">
        <v>0</v>
      </c>
      <c r="G55" s="39">
        <f>IncExp!G7</f>
        <v>70000</v>
      </c>
      <c r="H55" s="11">
        <v>0</v>
      </c>
      <c r="I55" s="15">
        <f>SUM(C55:H55)</f>
        <v>280000</v>
      </c>
      <c r="J55" s="11">
        <f>RecExp!G42</f>
        <v>105000</v>
      </c>
      <c r="K55" s="11">
        <f>IncExp!C12</f>
        <v>24000</v>
      </c>
      <c r="L55" s="11">
        <f>IncExp!C45</f>
        <v>71000</v>
      </c>
      <c r="M55" s="39">
        <f>IncExp!G25</f>
        <v>5000</v>
      </c>
      <c r="N55" s="102">
        <f>SUM(J55:M55)</f>
        <v>205000</v>
      </c>
      <c r="O55" s="103">
        <f>I55-N55</f>
        <v>75000</v>
      </c>
      <c r="P55" s="11">
        <f>BalSht!G31</f>
        <v>1700000</v>
      </c>
      <c r="Q55" s="88" t="s">
        <v>26</v>
      </c>
    </row>
    <row r="56" spans="1:17">
      <c r="A56" s="114">
        <f t="shared" ref="A56:B71" si="0">A55+1</f>
        <v>2020</v>
      </c>
      <c r="B56" s="114">
        <f t="shared" si="0"/>
        <v>61</v>
      </c>
      <c r="C56" s="11">
        <f>C55*(1+C$52)</f>
        <v>123600</v>
      </c>
      <c r="D56" s="11">
        <f>D55*(1+D$52)</f>
        <v>92700</v>
      </c>
      <c r="E56" s="39">
        <v>0</v>
      </c>
      <c r="F56" s="11">
        <f>F55*F$52</f>
        <v>0</v>
      </c>
      <c r="G56" s="104">
        <f>IF(P55&gt;0,P55*G$52,0)</f>
        <v>102000</v>
      </c>
      <c r="H56" s="11">
        <v>0</v>
      </c>
      <c r="I56" s="15">
        <f t="shared" ref="I56:I94" si="1">SUM(C56:H56)</f>
        <v>318300</v>
      </c>
      <c r="J56" s="11">
        <f>J55*(1+J$52)</f>
        <v>108150</v>
      </c>
      <c r="K56" s="11">
        <f>K55</f>
        <v>24000</v>
      </c>
      <c r="L56" s="39">
        <f>I56*L$52</f>
        <v>70026</v>
      </c>
      <c r="M56" s="12">
        <f>M55</f>
        <v>5000</v>
      </c>
      <c r="N56" s="102">
        <f t="shared" ref="N56:N91" si="2">SUM(J56:M56)</f>
        <v>207176</v>
      </c>
      <c r="O56" s="103">
        <f t="shared" ref="O56:O91" si="3">I56-N56</f>
        <v>111124</v>
      </c>
      <c r="P56" s="103">
        <f>P55+O56</f>
        <v>1811124</v>
      </c>
      <c r="Q56" s="88"/>
    </row>
    <row r="57" spans="1:17">
      <c r="A57" s="114">
        <f t="shared" si="0"/>
        <v>2021</v>
      </c>
      <c r="B57" s="114">
        <f t="shared" si="0"/>
        <v>62</v>
      </c>
      <c r="C57" s="11">
        <f>C56*(1+C$52)</f>
        <v>127308</v>
      </c>
      <c r="D57" s="11">
        <v>0</v>
      </c>
      <c r="E57" s="39">
        <v>0</v>
      </c>
      <c r="F57" s="11">
        <f>1500*0.75*12</f>
        <v>13500</v>
      </c>
      <c r="G57" s="103">
        <f t="shared" ref="G57:G91" si="4">IF(P56&gt;0,P56*G$52,0)</f>
        <v>108667.44</v>
      </c>
      <c r="H57" s="11">
        <v>0</v>
      </c>
      <c r="I57" s="15">
        <f t="shared" si="1"/>
        <v>249475.44</v>
      </c>
      <c r="J57" s="11">
        <f t="shared" ref="J57:J95" si="5">J56*(1+J$52)</f>
        <v>111394.5</v>
      </c>
      <c r="K57" s="11">
        <f t="shared" ref="K57:K76" si="6">K56</f>
        <v>24000</v>
      </c>
      <c r="L57" s="39">
        <f>I57*L$52</f>
        <v>54884.596799999999</v>
      </c>
      <c r="M57" s="11">
        <f>M56*(1+M$52)</f>
        <v>5150</v>
      </c>
      <c r="N57" s="102">
        <f t="shared" si="2"/>
        <v>195429.0968</v>
      </c>
      <c r="O57" s="103">
        <f t="shared" si="3"/>
        <v>54046.343200000003</v>
      </c>
      <c r="P57" s="103">
        <f t="shared" ref="P57:P91" si="7">P56+O57</f>
        <v>1865170.3432</v>
      </c>
      <c r="Q57" s="89"/>
    </row>
    <row r="58" spans="1:17">
      <c r="A58" s="114">
        <f t="shared" si="0"/>
        <v>2022</v>
      </c>
      <c r="B58" s="114">
        <f t="shared" si="0"/>
        <v>63</v>
      </c>
      <c r="C58" s="11">
        <f>C57*(1+C$52)</f>
        <v>131127.24</v>
      </c>
      <c r="D58" s="11">
        <f>D57*(1+D$52)</f>
        <v>0</v>
      </c>
      <c r="E58" s="39">
        <v>0</v>
      </c>
      <c r="F58" s="11">
        <f t="shared" ref="F58:F95" si="8">F57*(1+F$52)</f>
        <v>13905</v>
      </c>
      <c r="G58" s="103">
        <f t="shared" si="4"/>
        <v>111910.220592</v>
      </c>
      <c r="H58" s="11">
        <v>0</v>
      </c>
      <c r="I58" s="15">
        <f t="shared" si="1"/>
        <v>256942.46059199999</v>
      </c>
      <c r="J58" s="11">
        <f t="shared" si="5"/>
        <v>114736.33500000001</v>
      </c>
      <c r="K58" s="11">
        <f t="shared" si="6"/>
        <v>24000</v>
      </c>
      <c r="L58" s="39">
        <f t="shared" ref="L58:L94" si="9">I58*L$52</f>
        <v>56527.34133024</v>
      </c>
      <c r="M58" s="11">
        <f>M57*(1+M$52)</f>
        <v>5304.5</v>
      </c>
      <c r="N58" s="102">
        <f t="shared" si="2"/>
        <v>200568.17633024004</v>
      </c>
      <c r="O58" s="103">
        <f t="shared" si="3"/>
        <v>56374.284261759953</v>
      </c>
      <c r="P58" s="103">
        <f t="shared" si="7"/>
        <v>1921544.6274617598</v>
      </c>
      <c r="Q58" s="89"/>
    </row>
    <row r="59" spans="1:17">
      <c r="A59" s="114">
        <f t="shared" si="0"/>
        <v>2023</v>
      </c>
      <c r="B59" s="114">
        <f t="shared" si="0"/>
        <v>64</v>
      </c>
      <c r="C59" s="11">
        <f>C58*(1+C$52)</f>
        <v>135061.05719999998</v>
      </c>
      <c r="D59" s="11">
        <f>D58*(1+D$52)</f>
        <v>0</v>
      </c>
      <c r="E59" s="39">
        <v>0</v>
      </c>
      <c r="F59" s="11">
        <f t="shared" si="8"/>
        <v>14322.15</v>
      </c>
      <c r="G59" s="103">
        <f t="shared" si="4"/>
        <v>115292.67764770558</v>
      </c>
      <c r="H59" s="11">
        <v>0</v>
      </c>
      <c r="I59" s="15">
        <f t="shared" si="1"/>
        <v>264675.88484770554</v>
      </c>
      <c r="J59" s="11">
        <f t="shared" si="5"/>
        <v>118178.42505000001</v>
      </c>
      <c r="K59" s="11">
        <f t="shared" si="6"/>
        <v>24000</v>
      </c>
      <c r="L59" s="39">
        <f t="shared" si="9"/>
        <v>58228.694666495219</v>
      </c>
      <c r="M59" s="11">
        <f>M58*(1+M$52)</f>
        <v>5463.6350000000002</v>
      </c>
      <c r="N59" s="102">
        <f t="shared" si="2"/>
        <v>205870.75471649526</v>
      </c>
      <c r="O59" s="103">
        <f t="shared" si="3"/>
        <v>58805.130131210288</v>
      </c>
      <c r="P59" s="103">
        <f t="shared" si="7"/>
        <v>1980349.75759297</v>
      </c>
      <c r="Q59" s="89"/>
    </row>
    <row r="60" spans="1:17">
      <c r="A60" s="114">
        <f t="shared" si="0"/>
        <v>2024</v>
      </c>
      <c r="B60" s="114">
        <f t="shared" si="0"/>
        <v>65</v>
      </c>
      <c r="C60" s="11">
        <f>C59*(1+C$52)</f>
        <v>139112.888916</v>
      </c>
      <c r="D60" s="11">
        <f>D59*(1+D$52)</f>
        <v>0</v>
      </c>
      <c r="E60" s="39">
        <v>0</v>
      </c>
      <c r="F60" s="11">
        <f t="shared" si="8"/>
        <v>14751.8145</v>
      </c>
      <c r="G60" s="103">
        <f t="shared" si="4"/>
        <v>118820.98545557819</v>
      </c>
      <c r="H60" s="11">
        <v>0</v>
      </c>
      <c r="I60" s="15">
        <f t="shared" si="1"/>
        <v>272685.6888715782</v>
      </c>
      <c r="J60" s="11">
        <f t="shared" si="5"/>
        <v>121723.77780150001</v>
      </c>
      <c r="K60" s="11">
        <f t="shared" si="6"/>
        <v>24000</v>
      </c>
      <c r="L60" s="39">
        <f t="shared" si="9"/>
        <v>59990.851551747204</v>
      </c>
      <c r="M60" s="11">
        <f>M59*(1+M$52)</f>
        <v>5627.5440500000004</v>
      </c>
      <c r="N60" s="102">
        <f t="shared" si="2"/>
        <v>211342.1734032472</v>
      </c>
      <c r="O60" s="103">
        <f t="shared" si="3"/>
        <v>61343.515468330996</v>
      </c>
      <c r="P60" s="103">
        <f t="shared" si="7"/>
        <v>2041693.2730613011</v>
      </c>
      <c r="Q60" s="89"/>
    </row>
    <row r="61" spans="1:17">
      <c r="A61" s="114">
        <f t="shared" si="0"/>
        <v>2025</v>
      </c>
      <c r="B61" s="114">
        <f t="shared" si="0"/>
        <v>66</v>
      </c>
      <c r="C61" s="11">
        <v>0</v>
      </c>
      <c r="D61" s="11">
        <v>0</v>
      </c>
      <c r="E61" s="11">
        <f>2000*12</f>
        <v>24000</v>
      </c>
      <c r="F61" s="11">
        <f t="shared" si="8"/>
        <v>15194.368935</v>
      </c>
      <c r="G61" s="103">
        <f t="shared" si="4"/>
        <v>122501.59638367806</v>
      </c>
      <c r="H61" s="11">
        <v>0</v>
      </c>
      <c r="I61" s="15">
        <f t="shared" si="1"/>
        <v>161695.96531867806</v>
      </c>
      <c r="J61" s="11">
        <f t="shared" si="5"/>
        <v>125375.49113554502</v>
      </c>
      <c r="K61" s="11">
        <f t="shared" si="6"/>
        <v>24000</v>
      </c>
      <c r="L61" s="39">
        <f t="shared" si="9"/>
        <v>35573.112370109171</v>
      </c>
      <c r="M61" s="11">
        <f>M60*(1+M$52)</f>
        <v>5796.3703715000001</v>
      </c>
      <c r="N61" s="102">
        <f t="shared" si="2"/>
        <v>190744.9738771542</v>
      </c>
      <c r="O61" s="103">
        <f t="shared" si="3"/>
        <v>-29049.00855847614</v>
      </c>
      <c r="P61" s="103">
        <f t="shared" si="7"/>
        <v>2012644.264502825</v>
      </c>
      <c r="Q61" s="89"/>
    </row>
    <row r="62" spans="1:17">
      <c r="A62" s="114">
        <f t="shared" si="0"/>
        <v>2026</v>
      </c>
      <c r="B62" s="114">
        <f t="shared" si="0"/>
        <v>67</v>
      </c>
      <c r="C62" s="11">
        <v>0</v>
      </c>
      <c r="D62" s="11">
        <v>0</v>
      </c>
      <c r="E62" s="11">
        <f t="shared" ref="E62:E95" si="10">E61*(1+E$52)</f>
        <v>24720</v>
      </c>
      <c r="F62" s="11">
        <f t="shared" si="8"/>
        <v>15650.20000305</v>
      </c>
      <c r="G62" s="103">
        <f t="shared" si="4"/>
        <v>120758.65587016949</v>
      </c>
      <c r="H62" s="11">
        <v>0</v>
      </c>
      <c r="I62" s="15">
        <f t="shared" si="1"/>
        <v>161128.85587321949</v>
      </c>
      <c r="J62" s="11">
        <f t="shared" si="5"/>
        <v>129136.75586961137</v>
      </c>
      <c r="K62" s="11">
        <f t="shared" si="6"/>
        <v>24000</v>
      </c>
      <c r="L62" s="39">
        <f t="shared" si="9"/>
        <v>35448.34829210829</v>
      </c>
      <c r="M62" s="106">
        <f>M61*10</f>
        <v>57963.703715000003</v>
      </c>
      <c r="N62" s="102">
        <f t="shared" si="2"/>
        <v>246548.80787671969</v>
      </c>
      <c r="O62" s="103">
        <f t="shared" si="3"/>
        <v>-85419.952003500191</v>
      </c>
      <c r="P62" s="103">
        <f t="shared" si="7"/>
        <v>1927224.3124993248</v>
      </c>
      <c r="Q62" s="89" t="s">
        <v>29</v>
      </c>
    </row>
    <row r="63" spans="1:17">
      <c r="A63" s="114">
        <f t="shared" si="0"/>
        <v>2027</v>
      </c>
      <c r="B63" s="114">
        <f t="shared" si="0"/>
        <v>68</v>
      </c>
      <c r="C63" s="11">
        <v>0</v>
      </c>
      <c r="D63" s="11">
        <v>0</v>
      </c>
      <c r="E63" s="11">
        <f t="shared" si="10"/>
        <v>25461.600000000002</v>
      </c>
      <c r="F63" s="11">
        <f t="shared" si="8"/>
        <v>16119.7060031415</v>
      </c>
      <c r="G63" s="103">
        <f t="shared" si="4"/>
        <v>115633.45874995948</v>
      </c>
      <c r="H63" s="11">
        <v>0</v>
      </c>
      <c r="I63" s="15">
        <f t="shared" si="1"/>
        <v>157214.76475310099</v>
      </c>
      <c r="J63" s="11">
        <f t="shared" si="5"/>
        <v>133010.85854569971</v>
      </c>
      <c r="K63" s="11">
        <f t="shared" si="6"/>
        <v>24000</v>
      </c>
      <c r="L63" s="39">
        <f t="shared" si="9"/>
        <v>34587.248245682218</v>
      </c>
      <c r="M63" s="106">
        <f t="shared" ref="M63:M95" si="11">M62*(1+M$52)</f>
        <v>59702.614826450008</v>
      </c>
      <c r="N63" s="102">
        <f t="shared" si="2"/>
        <v>251300.72161783194</v>
      </c>
      <c r="O63" s="103">
        <f t="shared" si="3"/>
        <v>-94085.95686473095</v>
      </c>
      <c r="P63" s="103">
        <f t="shared" si="7"/>
        <v>1833138.3556345939</v>
      </c>
      <c r="Q63" s="89" t="s">
        <v>29</v>
      </c>
    </row>
    <row r="64" spans="1:17">
      <c r="A64" s="114">
        <f t="shared" si="0"/>
        <v>2028</v>
      </c>
      <c r="B64" s="114">
        <f t="shared" si="0"/>
        <v>69</v>
      </c>
      <c r="C64" s="11">
        <v>0</v>
      </c>
      <c r="D64" s="11">
        <v>0</v>
      </c>
      <c r="E64" s="11">
        <f t="shared" si="10"/>
        <v>26225.448000000004</v>
      </c>
      <c r="F64" s="11">
        <f t="shared" si="8"/>
        <v>16603.297183235747</v>
      </c>
      <c r="G64" s="103">
        <f t="shared" si="4"/>
        <v>109988.30133807563</v>
      </c>
      <c r="H64" s="11">
        <v>0</v>
      </c>
      <c r="I64" s="15">
        <f t="shared" si="1"/>
        <v>152817.04652131139</v>
      </c>
      <c r="J64" s="11">
        <f t="shared" si="5"/>
        <v>137001.1843020707</v>
      </c>
      <c r="K64" s="11">
        <f t="shared" si="6"/>
        <v>24000</v>
      </c>
      <c r="L64" s="39">
        <f t="shared" si="9"/>
        <v>33619.750234688508</v>
      </c>
      <c r="M64" s="106">
        <f t="shared" si="11"/>
        <v>61493.693271243508</v>
      </c>
      <c r="N64" s="102">
        <f t="shared" si="2"/>
        <v>256114.62780800273</v>
      </c>
      <c r="O64" s="103">
        <f t="shared" si="3"/>
        <v>-103297.58128669133</v>
      </c>
      <c r="P64" s="103">
        <f t="shared" si="7"/>
        <v>1729840.7743479025</v>
      </c>
      <c r="Q64" s="89" t="s">
        <v>29</v>
      </c>
    </row>
    <row r="65" spans="1:17">
      <c r="A65" s="114">
        <f t="shared" si="0"/>
        <v>2029</v>
      </c>
      <c r="B65" s="114">
        <f t="shared" si="0"/>
        <v>70</v>
      </c>
      <c r="C65" s="11">
        <v>0</v>
      </c>
      <c r="D65" s="11">
        <v>0</v>
      </c>
      <c r="E65" s="11">
        <f t="shared" si="10"/>
        <v>27012.211440000006</v>
      </c>
      <c r="F65" s="11">
        <f t="shared" si="8"/>
        <v>17101.396098732821</v>
      </c>
      <c r="G65" s="103">
        <f t="shared" si="4"/>
        <v>103790.44646087414</v>
      </c>
      <c r="H65" s="11">
        <v>0</v>
      </c>
      <c r="I65" s="15">
        <f t="shared" si="1"/>
        <v>147904.05399960699</v>
      </c>
      <c r="J65" s="11">
        <f t="shared" si="5"/>
        <v>141111.21983113282</v>
      </c>
      <c r="K65" s="11">
        <f t="shared" si="6"/>
        <v>24000</v>
      </c>
      <c r="L65" s="39">
        <f t="shared" si="9"/>
        <v>32538.891879913535</v>
      </c>
      <c r="M65" s="11">
        <f>M64*(1+M$52)/10</f>
        <v>6333.8504069380815</v>
      </c>
      <c r="N65" s="102">
        <f t="shared" si="2"/>
        <v>203983.96211798445</v>
      </c>
      <c r="O65" s="103">
        <f t="shared" si="3"/>
        <v>-56079.908118377469</v>
      </c>
      <c r="P65" s="103">
        <f t="shared" si="7"/>
        <v>1673760.8662295251</v>
      </c>
      <c r="Q65" s="89"/>
    </row>
    <row r="66" spans="1:17">
      <c r="A66" s="114">
        <f t="shared" si="0"/>
        <v>2030</v>
      </c>
      <c r="B66" s="114">
        <f t="shared" si="0"/>
        <v>71</v>
      </c>
      <c r="C66" s="11">
        <v>0</v>
      </c>
      <c r="D66" s="11">
        <v>0</v>
      </c>
      <c r="E66" s="11">
        <f t="shared" si="10"/>
        <v>27822.577783200006</v>
      </c>
      <c r="F66" s="11">
        <f t="shared" si="8"/>
        <v>17614.437981694806</v>
      </c>
      <c r="G66" s="103">
        <f t="shared" si="4"/>
        <v>100425.6519737715</v>
      </c>
      <c r="H66" s="11">
        <v>0</v>
      </c>
      <c r="I66" s="15">
        <f t="shared" si="1"/>
        <v>145862.66773866629</v>
      </c>
      <c r="J66" s="11">
        <f t="shared" si="5"/>
        <v>145344.55642606682</v>
      </c>
      <c r="K66" s="11">
        <f t="shared" si="6"/>
        <v>24000</v>
      </c>
      <c r="L66" s="39">
        <f t="shared" si="9"/>
        <v>32089.786902506585</v>
      </c>
      <c r="M66" s="11">
        <f t="shared" si="11"/>
        <v>6523.8659191462239</v>
      </c>
      <c r="N66" s="102">
        <f t="shared" si="2"/>
        <v>207958.20924771961</v>
      </c>
      <c r="O66" s="103">
        <f t="shared" si="3"/>
        <v>-62095.541509053321</v>
      </c>
      <c r="P66" s="103">
        <f t="shared" si="7"/>
        <v>1611665.3247204716</v>
      </c>
      <c r="Q66" s="89"/>
    </row>
    <row r="67" spans="1:17">
      <c r="A67" s="114">
        <f t="shared" si="0"/>
        <v>2031</v>
      </c>
      <c r="B67" s="114">
        <f t="shared" si="0"/>
        <v>72</v>
      </c>
      <c r="C67" s="11">
        <v>0</v>
      </c>
      <c r="D67" s="11">
        <v>0</v>
      </c>
      <c r="E67" s="11">
        <f t="shared" si="10"/>
        <v>28657.255116696007</v>
      </c>
      <c r="F67" s="11">
        <f t="shared" si="8"/>
        <v>18142.87112114565</v>
      </c>
      <c r="G67" s="103">
        <f t="shared" si="4"/>
        <v>96699.919483228296</v>
      </c>
      <c r="H67" s="11">
        <v>0</v>
      </c>
      <c r="I67" s="15">
        <f t="shared" si="1"/>
        <v>143500.04572106997</v>
      </c>
      <c r="J67" s="11">
        <f t="shared" si="5"/>
        <v>149704.89311884882</v>
      </c>
      <c r="K67" s="11">
        <f t="shared" si="6"/>
        <v>24000</v>
      </c>
      <c r="L67" s="39">
        <f t="shared" si="9"/>
        <v>31570.010058635395</v>
      </c>
      <c r="M67" s="11">
        <f t="shared" si="11"/>
        <v>6719.5818967206105</v>
      </c>
      <c r="N67" s="102">
        <f t="shared" si="2"/>
        <v>211994.48507420483</v>
      </c>
      <c r="O67" s="103">
        <f t="shared" si="3"/>
        <v>-68494.439353134861</v>
      </c>
      <c r="P67" s="103">
        <f t="shared" si="7"/>
        <v>1543170.8853673367</v>
      </c>
      <c r="Q67" s="89"/>
    </row>
    <row r="68" spans="1:17">
      <c r="A68" s="114">
        <f t="shared" si="0"/>
        <v>2032</v>
      </c>
      <c r="B68" s="114">
        <f t="shared" si="0"/>
        <v>73</v>
      </c>
      <c r="C68" s="11">
        <v>0</v>
      </c>
      <c r="D68" s="11">
        <v>0</v>
      </c>
      <c r="E68" s="11">
        <f t="shared" si="10"/>
        <v>29516.972770196888</v>
      </c>
      <c r="F68" s="11">
        <f t="shared" si="8"/>
        <v>18687.157254780021</v>
      </c>
      <c r="G68" s="103">
        <f t="shared" si="4"/>
        <v>92590.253122040202</v>
      </c>
      <c r="H68" s="11">
        <v>0</v>
      </c>
      <c r="I68" s="15">
        <f t="shared" si="1"/>
        <v>140794.3831470171</v>
      </c>
      <c r="J68" s="11">
        <f t="shared" si="5"/>
        <v>154196.0399124143</v>
      </c>
      <c r="K68" s="11">
        <f t="shared" si="6"/>
        <v>24000</v>
      </c>
      <c r="L68" s="39">
        <f t="shared" si="9"/>
        <v>30974.764292343763</v>
      </c>
      <c r="M68" s="11">
        <f t="shared" si="11"/>
        <v>6921.1693536222292</v>
      </c>
      <c r="N68" s="102">
        <f t="shared" si="2"/>
        <v>216091.97355838027</v>
      </c>
      <c r="O68" s="103">
        <f t="shared" si="3"/>
        <v>-75297.59041136317</v>
      </c>
      <c r="P68" s="103">
        <f t="shared" si="7"/>
        <v>1467873.2949559735</v>
      </c>
      <c r="Q68" s="89"/>
    </row>
    <row r="69" spans="1:17">
      <c r="A69" s="114">
        <f t="shared" si="0"/>
        <v>2033</v>
      </c>
      <c r="B69" s="114">
        <f t="shared" si="0"/>
        <v>74</v>
      </c>
      <c r="C69" s="11">
        <v>0</v>
      </c>
      <c r="D69" s="11">
        <v>0</v>
      </c>
      <c r="E69" s="11">
        <f t="shared" si="10"/>
        <v>30402.481953302795</v>
      </c>
      <c r="F69" s="11">
        <f t="shared" si="8"/>
        <v>19247.771972423423</v>
      </c>
      <c r="G69" s="103">
        <f t="shared" si="4"/>
        <v>88072.397697358407</v>
      </c>
      <c r="H69" s="11">
        <v>0</v>
      </c>
      <c r="I69" s="15">
        <f t="shared" si="1"/>
        <v>137722.65162308462</v>
      </c>
      <c r="J69" s="11">
        <f t="shared" si="5"/>
        <v>158821.92110978672</v>
      </c>
      <c r="K69" s="11">
        <f t="shared" si="6"/>
        <v>24000</v>
      </c>
      <c r="L69" s="39">
        <f t="shared" si="9"/>
        <v>30298.983357078618</v>
      </c>
      <c r="M69" s="11">
        <f t="shared" si="11"/>
        <v>7128.8044342308958</v>
      </c>
      <c r="N69" s="102">
        <f t="shared" si="2"/>
        <v>220249.70890109625</v>
      </c>
      <c r="O69" s="103">
        <f t="shared" si="3"/>
        <v>-82527.057278011634</v>
      </c>
      <c r="P69" s="103">
        <f t="shared" si="7"/>
        <v>1385346.2376779618</v>
      </c>
      <c r="Q69" s="89"/>
    </row>
    <row r="70" spans="1:17">
      <c r="A70" s="114">
        <f t="shared" si="0"/>
        <v>2034</v>
      </c>
      <c r="B70" s="114">
        <f t="shared" si="0"/>
        <v>75</v>
      </c>
      <c r="C70" s="11">
        <v>0</v>
      </c>
      <c r="D70" s="11">
        <v>0</v>
      </c>
      <c r="E70" s="11">
        <f t="shared" si="10"/>
        <v>31314.556411901878</v>
      </c>
      <c r="F70" s="11">
        <f t="shared" si="8"/>
        <v>19825.205131596125</v>
      </c>
      <c r="G70" s="103">
        <f t="shared" si="4"/>
        <v>83120.774260677703</v>
      </c>
      <c r="H70" s="11">
        <v>0</v>
      </c>
      <c r="I70" s="15">
        <f t="shared" si="1"/>
        <v>134260.53580417571</v>
      </c>
      <c r="J70" s="11">
        <f t="shared" si="5"/>
        <v>163586.57874308032</v>
      </c>
      <c r="K70" s="11">
        <f t="shared" si="6"/>
        <v>24000</v>
      </c>
      <c r="L70" s="39">
        <f t="shared" si="9"/>
        <v>29537.317876918656</v>
      </c>
      <c r="M70" s="11">
        <f t="shared" si="11"/>
        <v>7342.6685672578233</v>
      </c>
      <c r="N70" s="102">
        <f t="shared" si="2"/>
        <v>224466.56518725678</v>
      </c>
      <c r="O70" s="103">
        <f t="shared" si="3"/>
        <v>-90206.02938308107</v>
      </c>
      <c r="P70" s="103">
        <f t="shared" si="7"/>
        <v>1295140.2082948808</v>
      </c>
      <c r="Q70" s="89"/>
    </row>
    <row r="71" spans="1:17">
      <c r="A71" s="114">
        <f t="shared" si="0"/>
        <v>2035</v>
      </c>
      <c r="B71" s="114">
        <f t="shared" si="0"/>
        <v>76</v>
      </c>
      <c r="C71" s="11">
        <v>0</v>
      </c>
      <c r="D71" s="11">
        <v>0</v>
      </c>
      <c r="E71" s="11">
        <f t="shared" si="10"/>
        <v>32253.993104258934</v>
      </c>
      <c r="F71" s="11">
        <f t="shared" si="8"/>
        <v>20419.96128554401</v>
      </c>
      <c r="G71" s="103">
        <f t="shared" si="4"/>
        <v>77708.412497692843</v>
      </c>
      <c r="H71" s="11">
        <v>0</v>
      </c>
      <c r="I71" s="15">
        <f t="shared" si="1"/>
        <v>130382.36688749579</v>
      </c>
      <c r="J71" s="11">
        <f t="shared" si="5"/>
        <v>168494.17610537272</v>
      </c>
      <c r="K71" s="11">
        <f t="shared" si="6"/>
        <v>24000</v>
      </c>
      <c r="L71" s="39">
        <f t="shared" si="9"/>
        <v>28684.120715249075</v>
      </c>
      <c r="M71" s="11">
        <f t="shared" si="11"/>
        <v>7562.9486242755584</v>
      </c>
      <c r="N71" s="102">
        <f t="shared" si="2"/>
        <v>228741.24544489736</v>
      </c>
      <c r="O71" s="103">
        <f t="shared" si="3"/>
        <v>-98358.878557401564</v>
      </c>
      <c r="P71" s="103">
        <f t="shared" si="7"/>
        <v>1196781.3297374793</v>
      </c>
      <c r="Q71" s="10"/>
    </row>
    <row r="72" spans="1:17">
      <c r="A72" s="114">
        <f t="shared" ref="A72:B87" si="12">A71+1</f>
        <v>2036</v>
      </c>
      <c r="B72" s="114">
        <f t="shared" si="12"/>
        <v>77</v>
      </c>
      <c r="C72" s="11">
        <v>0</v>
      </c>
      <c r="D72" s="11">
        <v>0</v>
      </c>
      <c r="E72" s="11">
        <f t="shared" si="10"/>
        <v>33221.612897386702</v>
      </c>
      <c r="F72" s="11">
        <f t="shared" si="8"/>
        <v>21032.560124110332</v>
      </c>
      <c r="G72" s="103">
        <f t="shared" si="4"/>
        <v>71806.879784248755</v>
      </c>
      <c r="H72" s="11">
        <v>0</v>
      </c>
      <c r="I72" s="15">
        <f t="shared" si="1"/>
        <v>126061.05280574579</v>
      </c>
      <c r="J72" s="11">
        <f t="shared" si="5"/>
        <v>173549.00138853391</v>
      </c>
      <c r="K72" s="106">
        <v>0</v>
      </c>
      <c r="L72" s="39">
        <f t="shared" si="9"/>
        <v>27733.431617264072</v>
      </c>
      <c r="M72" s="39">
        <f>M71/5</f>
        <v>1512.5897248551116</v>
      </c>
      <c r="N72" s="102">
        <f t="shared" si="2"/>
        <v>202795.02273065312</v>
      </c>
      <c r="O72" s="103">
        <f t="shared" si="3"/>
        <v>-76733.969924907331</v>
      </c>
      <c r="P72" s="103">
        <f t="shared" si="7"/>
        <v>1120047.3598125719</v>
      </c>
      <c r="Q72" s="105" t="s">
        <v>178</v>
      </c>
    </row>
    <row r="73" spans="1:17">
      <c r="A73" s="114">
        <f t="shared" si="12"/>
        <v>2037</v>
      </c>
      <c r="B73" s="114">
        <f t="shared" si="12"/>
        <v>78</v>
      </c>
      <c r="C73" s="11">
        <v>0</v>
      </c>
      <c r="D73" s="11">
        <v>0</v>
      </c>
      <c r="E73" s="11">
        <f t="shared" si="10"/>
        <v>34218.261284308304</v>
      </c>
      <c r="F73" s="11">
        <f t="shared" si="8"/>
        <v>21663.536927833644</v>
      </c>
      <c r="G73" s="103">
        <f t="shared" si="4"/>
        <v>67202.841588754309</v>
      </c>
      <c r="H73" s="11">
        <v>0</v>
      </c>
      <c r="I73" s="15">
        <f t="shared" si="1"/>
        <v>123084.63980089626</v>
      </c>
      <c r="J73" s="11">
        <f t="shared" si="5"/>
        <v>178755.47143018994</v>
      </c>
      <c r="K73" s="11">
        <f t="shared" si="6"/>
        <v>0</v>
      </c>
      <c r="L73" s="39">
        <f t="shared" si="9"/>
        <v>27078.620756197175</v>
      </c>
      <c r="M73" s="11">
        <f t="shared" si="11"/>
        <v>1557.9674166007651</v>
      </c>
      <c r="N73" s="102">
        <f t="shared" si="2"/>
        <v>207392.05960298787</v>
      </c>
      <c r="O73" s="103">
        <f t="shared" si="3"/>
        <v>-84307.419802091608</v>
      </c>
      <c r="P73" s="103">
        <f t="shared" si="7"/>
        <v>1035739.9400104803</v>
      </c>
      <c r="Q73" s="10"/>
    </row>
    <row r="74" spans="1:17">
      <c r="A74" s="114">
        <f t="shared" si="12"/>
        <v>2038</v>
      </c>
      <c r="B74" s="114">
        <f t="shared" si="12"/>
        <v>79</v>
      </c>
      <c r="C74" s="11">
        <v>0</v>
      </c>
      <c r="D74" s="11">
        <v>0</v>
      </c>
      <c r="E74" s="11">
        <f t="shared" si="10"/>
        <v>35244.809122837556</v>
      </c>
      <c r="F74" s="11">
        <f t="shared" si="8"/>
        <v>22313.443035668653</v>
      </c>
      <c r="G74" s="103">
        <f t="shared" si="4"/>
        <v>62144.396400628815</v>
      </c>
      <c r="H74" s="11">
        <v>0</v>
      </c>
      <c r="I74" s="15">
        <f t="shared" si="1"/>
        <v>119702.64855913502</v>
      </c>
      <c r="J74" s="11">
        <f t="shared" si="5"/>
        <v>184118.13557309564</v>
      </c>
      <c r="K74" s="11">
        <f t="shared" si="6"/>
        <v>0</v>
      </c>
      <c r="L74" s="39">
        <f t="shared" si="9"/>
        <v>26334.582683009703</v>
      </c>
      <c r="M74" s="11">
        <f t="shared" si="11"/>
        <v>1604.706439098788</v>
      </c>
      <c r="N74" s="102">
        <f t="shared" si="2"/>
        <v>212057.42469520413</v>
      </c>
      <c r="O74" s="103">
        <f t="shared" si="3"/>
        <v>-92354.776136069107</v>
      </c>
      <c r="P74" s="103">
        <f t="shared" si="7"/>
        <v>943385.16387441126</v>
      </c>
      <c r="Q74" s="10"/>
    </row>
    <row r="75" spans="1:17">
      <c r="A75" s="114">
        <f t="shared" si="12"/>
        <v>2039</v>
      </c>
      <c r="B75" s="114">
        <f t="shared" si="12"/>
        <v>80</v>
      </c>
      <c r="C75" s="11">
        <v>0</v>
      </c>
      <c r="D75" s="11">
        <v>0</v>
      </c>
      <c r="E75" s="11">
        <f t="shared" si="10"/>
        <v>36302.153396522684</v>
      </c>
      <c r="F75" s="11">
        <f t="shared" si="8"/>
        <v>22982.846326738712</v>
      </c>
      <c r="G75" s="103">
        <f t="shared" si="4"/>
        <v>56603.109832464674</v>
      </c>
      <c r="H75" s="11">
        <v>0</v>
      </c>
      <c r="I75" s="15">
        <f t="shared" si="1"/>
        <v>115888.10955572607</v>
      </c>
      <c r="J75" s="11">
        <f t="shared" si="5"/>
        <v>189641.67964028852</v>
      </c>
      <c r="K75" s="11">
        <f t="shared" si="6"/>
        <v>0</v>
      </c>
      <c r="L75" s="39">
        <f t="shared" si="9"/>
        <v>25495.384102259737</v>
      </c>
      <c r="M75" s="11">
        <f t="shared" si="11"/>
        <v>1652.8476322717518</v>
      </c>
      <c r="N75" s="102">
        <f t="shared" si="2"/>
        <v>216789.91137482002</v>
      </c>
      <c r="O75" s="103">
        <f t="shared" si="3"/>
        <v>-100901.80181909395</v>
      </c>
      <c r="P75" s="103">
        <f t="shared" si="7"/>
        <v>842483.36205531727</v>
      </c>
      <c r="Q75" s="10"/>
    </row>
    <row r="76" spans="1:17">
      <c r="A76" s="114">
        <f t="shared" si="12"/>
        <v>2040</v>
      </c>
      <c r="B76" s="114">
        <f t="shared" si="12"/>
        <v>81</v>
      </c>
      <c r="C76" s="11">
        <v>0</v>
      </c>
      <c r="D76" s="11">
        <v>0</v>
      </c>
      <c r="E76" s="11">
        <f t="shared" si="10"/>
        <v>37391.217998418368</v>
      </c>
      <c r="F76" s="11">
        <f t="shared" si="8"/>
        <v>23672.331716540873</v>
      </c>
      <c r="G76" s="103">
        <f t="shared" si="4"/>
        <v>50549.001723319037</v>
      </c>
      <c r="H76" s="11">
        <v>0</v>
      </c>
      <c r="I76" s="15">
        <f t="shared" si="1"/>
        <v>111612.55143827829</v>
      </c>
      <c r="J76" s="11">
        <f t="shared" si="5"/>
        <v>195330.93002949719</v>
      </c>
      <c r="K76" s="11">
        <f t="shared" si="6"/>
        <v>0</v>
      </c>
      <c r="L76" s="39">
        <f t="shared" si="9"/>
        <v>24554.761316421223</v>
      </c>
      <c r="M76" s="11">
        <f t="shared" si="11"/>
        <v>1702.4330612399044</v>
      </c>
      <c r="N76" s="102">
        <f t="shared" si="2"/>
        <v>221588.12440715829</v>
      </c>
      <c r="O76" s="103">
        <f t="shared" si="3"/>
        <v>-109975.57296888001</v>
      </c>
      <c r="P76" s="103">
        <f t="shared" si="7"/>
        <v>732507.78908643732</v>
      </c>
      <c r="Q76" s="105"/>
    </row>
    <row r="77" spans="1:17">
      <c r="A77" s="114">
        <f t="shared" si="12"/>
        <v>2041</v>
      </c>
      <c r="B77" s="114">
        <f t="shared" si="12"/>
        <v>82</v>
      </c>
      <c r="C77" s="11">
        <v>0</v>
      </c>
      <c r="D77" s="11">
        <v>0</v>
      </c>
      <c r="E77" s="11">
        <f t="shared" si="10"/>
        <v>38512.954538370919</v>
      </c>
      <c r="F77" s="11">
        <f t="shared" si="8"/>
        <v>24382.501668037101</v>
      </c>
      <c r="G77" s="103">
        <f t="shared" si="4"/>
        <v>43950.46734518624</v>
      </c>
      <c r="H77" s="11">
        <v>0</v>
      </c>
      <c r="I77" s="15">
        <f t="shared" si="1"/>
        <v>106845.92355159426</v>
      </c>
      <c r="J77" s="11">
        <f t="shared" si="5"/>
        <v>201190.8579303821</v>
      </c>
      <c r="K77" s="11">
        <v>0</v>
      </c>
      <c r="L77" s="39">
        <f t="shared" si="9"/>
        <v>23506.103181350736</v>
      </c>
      <c r="M77" s="11">
        <f t="shared" si="11"/>
        <v>1753.5060530771016</v>
      </c>
      <c r="N77" s="102">
        <f t="shared" si="2"/>
        <v>226450.46716480996</v>
      </c>
      <c r="O77" s="103">
        <f t="shared" si="3"/>
        <v>-119604.5436132157</v>
      </c>
      <c r="P77" s="103">
        <f t="shared" si="7"/>
        <v>612903.24547322164</v>
      </c>
      <c r="Q77" s="10"/>
    </row>
    <row r="78" spans="1:17">
      <c r="A78" s="114">
        <f t="shared" si="12"/>
        <v>2042</v>
      </c>
      <c r="B78" s="114">
        <f t="shared" si="12"/>
        <v>83</v>
      </c>
      <c r="C78" s="11">
        <v>0</v>
      </c>
      <c r="D78" s="11">
        <v>0</v>
      </c>
      <c r="E78" s="11">
        <f t="shared" si="10"/>
        <v>39668.343174522051</v>
      </c>
      <c r="F78" s="11">
        <f t="shared" si="8"/>
        <v>25113.976718078215</v>
      </c>
      <c r="G78" s="103">
        <f t="shared" si="4"/>
        <v>36774.194728393297</v>
      </c>
      <c r="H78" s="11">
        <v>0</v>
      </c>
      <c r="I78" s="15">
        <f t="shared" si="1"/>
        <v>101556.51462099356</v>
      </c>
      <c r="J78" s="11">
        <f t="shared" si="5"/>
        <v>207226.58366829358</v>
      </c>
      <c r="K78" s="11">
        <v>0</v>
      </c>
      <c r="L78" s="39">
        <f t="shared" si="9"/>
        <v>22342.433216618585</v>
      </c>
      <c r="M78" s="11">
        <f t="shared" si="11"/>
        <v>1806.1112346694147</v>
      </c>
      <c r="N78" s="102">
        <f t="shared" si="2"/>
        <v>231375.12811958158</v>
      </c>
      <c r="O78" s="103">
        <f t="shared" si="3"/>
        <v>-129818.61349858802</v>
      </c>
      <c r="P78" s="103">
        <f t="shared" si="7"/>
        <v>483084.63197463361</v>
      </c>
      <c r="Q78" s="10"/>
    </row>
    <row r="79" spans="1:17">
      <c r="A79" s="114">
        <f t="shared" si="12"/>
        <v>2043</v>
      </c>
      <c r="B79" s="114">
        <f t="shared" si="12"/>
        <v>84</v>
      </c>
      <c r="C79" s="11">
        <v>0</v>
      </c>
      <c r="D79" s="11">
        <v>0</v>
      </c>
      <c r="E79" s="11">
        <f t="shared" si="10"/>
        <v>40858.393469757713</v>
      </c>
      <c r="F79" s="11">
        <f t="shared" si="8"/>
        <v>25867.396019620563</v>
      </c>
      <c r="G79" s="103">
        <f t="shared" si="4"/>
        <v>28985.077918478015</v>
      </c>
      <c r="H79" s="11">
        <v>0</v>
      </c>
      <c r="I79" s="15">
        <f t="shared" si="1"/>
        <v>95710.867407856291</v>
      </c>
      <c r="J79" s="11">
        <f t="shared" si="5"/>
        <v>213443.38117834239</v>
      </c>
      <c r="K79" s="11">
        <v>0</v>
      </c>
      <c r="L79" s="39">
        <f t="shared" si="9"/>
        <v>21056.390829728385</v>
      </c>
      <c r="M79" s="11">
        <f t="shared" si="11"/>
        <v>1860.2945717094972</v>
      </c>
      <c r="N79" s="102">
        <f t="shared" si="2"/>
        <v>236360.06657978028</v>
      </c>
      <c r="O79" s="103">
        <f t="shared" si="3"/>
        <v>-140649.19917192397</v>
      </c>
      <c r="P79" s="103">
        <f t="shared" si="7"/>
        <v>342435.43280270963</v>
      </c>
      <c r="Q79" s="10"/>
    </row>
    <row r="80" spans="1:17">
      <c r="A80" s="114">
        <f t="shared" si="12"/>
        <v>2044</v>
      </c>
      <c r="B80" s="114">
        <f t="shared" si="12"/>
        <v>85</v>
      </c>
      <c r="C80" s="11">
        <v>0</v>
      </c>
      <c r="D80" s="11">
        <v>0</v>
      </c>
      <c r="E80" s="11">
        <f t="shared" si="10"/>
        <v>42084.145273850445</v>
      </c>
      <c r="F80" s="11">
        <f t="shared" si="8"/>
        <v>26643.417900209181</v>
      </c>
      <c r="G80" s="103">
        <f t="shared" si="4"/>
        <v>20546.125968162578</v>
      </c>
      <c r="H80" s="11">
        <v>0</v>
      </c>
      <c r="I80" s="15">
        <f t="shared" si="1"/>
        <v>89273.689142222211</v>
      </c>
      <c r="J80" s="11">
        <f t="shared" si="5"/>
        <v>219846.68261369265</v>
      </c>
      <c r="K80" s="11">
        <v>0</v>
      </c>
      <c r="L80" s="39">
        <f t="shared" si="9"/>
        <v>19640.211611288887</v>
      </c>
      <c r="M80" s="11">
        <f t="shared" si="11"/>
        <v>1916.1034088607821</v>
      </c>
      <c r="N80" s="102">
        <f t="shared" si="2"/>
        <v>241402.99763384231</v>
      </c>
      <c r="O80" s="103">
        <f t="shared" si="3"/>
        <v>-152129.30849162012</v>
      </c>
      <c r="P80" s="103">
        <f t="shared" si="7"/>
        <v>190306.12431108952</v>
      </c>
      <c r="Q80" s="10"/>
    </row>
    <row r="81" spans="1:17">
      <c r="A81" s="114">
        <f t="shared" si="12"/>
        <v>2045</v>
      </c>
      <c r="B81" s="114">
        <f t="shared" si="12"/>
        <v>86</v>
      </c>
      <c r="C81" s="11">
        <v>0</v>
      </c>
      <c r="D81" s="11">
        <v>0</v>
      </c>
      <c r="E81" s="11">
        <f t="shared" si="10"/>
        <v>43346.669632065961</v>
      </c>
      <c r="F81" s="11">
        <f t="shared" si="8"/>
        <v>27442.720437215456</v>
      </c>
      <c r="G81" s="103">
        <f t="shared" si="4"/>
        <v>11418.367458665371</v>
      </c>
      <c r="H81" s="11">
        <v>0</v>
      </c>
      <c r="I81" s="15">
        <f t="shared" si="1"/>
        <v>82207.757527946786</v>
      </c>
      <c r="J81" s="11">
        <f t="shared" si="5"/>
        <v>226442.08309210345</v>
      </c>
      <c r="K81" s="11">
        <v>0</v>
      </c>
      <c r="L81" s="39">
        <f t="shared" si="9"/>
        <v>18085.706656148293</v>
      </c>
      <c r="M81" s="11">
        <f t="shared" si="11"/>
        <v>1973.5865111266057</v>
      </c>
      <c r="N81" s="102">
        <f t="shared" si="2"/>
        <v>246501.37625937833</v>
      </c>
      <c r="O81" s="103">
        <f t="shared" si="3"/>
        <v>-164293.61873143155</v>
      </c>
      <c r="P81" s="103">
        <f t="shared" si="7"/>
        <v>26012.505579657969</v>
      </c>
      <c r="Q81" s="10"/>
    </row>
    <row r="82" spans="1:17">
      <c r="A82" s="114">
        <f t="shared" si="12"/>
        <v>2046</v>
      </c>
      <c r="B82" s="114">
        <f t="shared" si="12"/>
        <v>87</v>
      </c>
      <c r="C82" s="11">
        <v>0</v>
      </c>
      <c r="D82" s="11">
        <v>0</v>
      </c>
      <c r="E82" s="11">
        <f t="shared" si="10"/>
        <v>44647.06972102794</v>
      </c>
      <c r="F82" s="11">
        <f t="shared" si="8"/>
        <v>28266.002050331921</v>
      </c>
      <c r="G82" s="103">
        <f t="shared" si="4"/>
        <v>1560.7503347794782</v>
      </c>
      <c r="H82" s="11">
        <v>0</v>
      </c>
      <c r="I82" s="15">
        <f t="shared" si="1"/>
        <v>74473.822106139341</v>
      </c>
      <c r="J82" s="11">
        <f t="shared" si="5"/>
        <v>233235.34558486656</v>
      </c>
      <c r="K82" s="11">
        <v>0</v>
      </c>
      <c r="L82" s="39">
        <f t="shared" si="9"/>
        <v>16384.240863350657</v>
      </c>
      <c r="M82" s="11">
        <f t="shared" si="11"/>
        <v>2032.794106460404</v>
      </c>
      <c r="N82" s="102">
        <f t="shared" si="2"/>
        <v>251652.38055467763</v>
      </c>
      <c r="O82" s="103">
        <f t="shared" si="3"/>
        <v>-177178.5584485383</v>
      </c>
      <c r="P82" s="103">
        <f t="shared" si="7"/>
        <v>-151166.05286888033</v>
      </c>
      <c r="Q82" s="10"/>
    </row>
    <row r="83" spans="1:17">
      <c r="A83" s="114">
        <f t="shared" si="12"/>
        <v>2047</v>
      </c>
      <c r="B83" s="114">
        <f t="shared" si="12"/>
        <v>88</v>
      </c>
      <c r="C83" s="11">
        <v>0</v>
      </c>
      <c r="D83" s="11">
        <v>0</v>
      </c>
      <c r="E83" s="11">
        <f t="shared" si="10"/>
        <v>45986.481812658778</v>
      </c>
      <c r="F83" s="11">
        <f t="shared" si="8"/>
        <v>29113.98211184188</v>
      </c>
      <c r="G83" s="103">
        <f t="shared" si="4"/>
        <v>0</v>
      </c>
      <c r="H83" s="11">
        <v>0</v>
      </c>
      <c r="I83" s="15">
        <f t="shared" si="1"/>
        <v>75100.463924500655</v>
      </c>
      <c r="J83" s="11">
        <f t="shared" si="5"/>
        <v>240232.40595241258</v>
      </c>
      <c r="K83" s="11">
        <v>0</v>
      </c>
      <c r="L83" s="39">
        <f t="shared" si="9"/>
        <v>16522.102063390143</v>
      </c>
      <c r="M83" s="11">
        <f t="shared" si="11"/>
        <v>2093.7779296542162</v>
      </c>
      <c r="N83" s="102">
        <f t="shared" si="2"/>
        <v>258848.28594545694</v>
      </c>
      <c r="O83" s="103">
        <f t="shared" si="3"/>
        <v>-183747.82202095629</v>
      </c>
      <c r="P83" s="103">
        <f t="shared" si="7"/>
        <v>-334913.87488983665</v>
      </c>
      <c r="Q83" s="10"/>
    </row>
    <row r="84" spans="1:17">
      <c r="A84" s="114">
        <f t="shared" si="12"/>
        <v>2048</v>
      </c>
      <c r="B84" s="114">
        <f t="shared" si="12"/>
        <v>89</v>
      </c>
      <c r="C84" s="11">
        <v>0</v>
      </c>
      <c r="D84" s="11">
        <v>0</v>
      </c>
      <c r="E84" s="11">
        <f t="shared" si="10"/>
        <v>47366.076267038545</v>
      </c>
      <c r="F84" s="11">
        <f t="shared" si="8"/>
        <v>29987.401575197138</v>
      </c>
      <c r="G84" s="103">
        <f t="shared" si="4"/>
        <v>0</v>
      </c>
      <c r="H84" s="11">
        <v>0</v>
      </c>
      <c r="I84" s="15">
        <f t="shared" si="1"/>
        <v>77353.477842235676</v>
      </c>
      <c r="J84" s="11">
        <f t="shared" si="5"/>
        <v>247439.37813098496</v>
      </c>
      <c r="K84" s="11">
        <v>0</v>
      </c>
      <c r="L84" s="39">
        <f t="shared" si="9"/>
        <v>17017.765125291848</v>
      </c>
      <c r="M84" s="11">
        <f t="shared" si="11"/>
        <v>2156.5912675438426</v>
      </c>
      <c r="N84" s="102">
        <f t="shared" si="2"/>
        <v>266613.73452382063</v>
      </c>
      <c r="O84" s="103">
        <f t="shared" si="3"/>
        <v>-189260.25668158496</v>
      </c>
      <c r="P84" s="103">
        <f t="shared" si="7"/>
        <v>-524174.13157142163</v>
      </c>
      <c r="Q84" s="10"/>
    </row>
    <row r="85" spans="1:17">
      <c r="A85" s="114">
        <f t="shared" si="12"/>
        <v>2049</v>
      </c>
      <c r="B85" s="114">
        <f t="shared" si="12"/>
        <v>90</v>
      </c>
      <c r="C85" s="11">
        <v>0</v>
      </c>
      <c r="D85" s="11">
        <v>0</v>
      </c>
      <c r="E85" s="11">
        <f t="shared" si="10"/>
        <v>48787.058555049705</v>
      </c>
      <c r="F85" s="11">
        <f t="shared" si="8"/>
        <v>30887.023622453053</v>
      </c>
      <c r="G85" s="103">
        <f t="shared" si="4"/>
        <v>0</v>
      </c>
      <c r="H85" s="11">
        <v>0</v>
      </c>
      <c r="I85" s="15">
        <f t="shared" si="1"/>
        <v>79674.082177502758</v>
      </c>
      <c r="J85" s="11">
        <f t="shared" si="5"/>
        <v>254862.55947491451</v>
      </c>
      <c r="K85" s="11">
        <v>0</v>
      </c>
      <c r="L85" s="39">
        <f t="shared" si="9"/>
        <v>17528.298079050608</v>
      </c>
      <c r="M85" s="11">
        <f t="shared" si="11"/>
        <v>2221.2890055701578</v>
      </c>
      <c r="N85" s="102">
        <f t="shared" si="2"/>
        <v>274612.14655953529</v>
      </c>
      <c r="O85" s="103">
        <f t="shared" si="3"/>
        <v>-194938.06438203255</v>
      </c>
      <c r="P85" s="103">
        <f t="shared" si="7"/>
        <v>-719112.19595345412</v>
      </c>
      <c r="Q85" s="105"/>
    </row>
    <row r="86" spans="1:17">
      <c r="A86" s="114">
        <f t="shared" si="12"/>
        <v>2050</v>
      </c>
      <c r="B86" s="114">
        <f t="shared" si="12"/>
        <v>91</v>
      </c>
      <c r="C86" s="11">
        <v>0</v>
      </c>
      <c r="D86" s="11">
        <v>0</v>
      </c>
      <c r="E86" s="11">
        <f t="shared" si="10"/>
        <v>50250.6703117012</v>
      </c>
      <c r="F86" s="11">
        <f t="shared" si="8"/>
        <v>31813.634331126646</v>
      </c>
      <c r="G86" s="103">
        <f t="shared" si="4"/>
        <v>0</v>
      </c>
      <c r="H86" s="11">
        <v>0</v>
      </c>
      <c r="I86" s="15">
        <f t="shared" si="1"/>
        <v>82064.304642827847</v>
      </c>
      <c r="J86" s="11">
        <f t="shared" si="5"/>
        <v>262508.43625916197</v>
      </c>
      <c r="K86" s="11">
        <v>0</v>
      </c>
      <c r="L86" s="39">
        <f t="shared" si="9"/>
        <v>18054.147021422126</v>
      </c>
      <c r="M86" s="106">
        <v>50000</v>
      </c>
      <c r="N86" s="102">
        <f t="shared" si="2"/>
        <v>330562.58328058408</v>
      </c>
      <c r="O86" s="103">
        <f t="shared" si="3"/>
        <v>-248498.27863775624</v>
      </c>
      <c r="P86" s="103">
        <f t="shared" si="7"/>
        <v>-967610.47459121037</v>
      </c>
      <c r="Q86" s="88" t="s">
        <v>28</v>
      </c>
    </row>
    <row r="87" spans="1:17">
      <c r="A87" s="114">
        <f t="shared" si="12"/>
        <v>2051</v>
      </c>
      <c r="B87" s="114">
        <f t="shared" si="12"/>
        <v>92</v>
      </c>
      <c r="C87" s="11">
        <v>0</v>
      </c>
      <c r="D87" s="11">
        <v>0</v>
      </c>
      <c r="E87" s="11">
        <f t="shared" si="10"/>
        <v>51758.190421052241</v>
      </c>
      <c r="F87" s="11">
        <f t="shared" si="8"/>
        <v>32768.043361060445</v>
      </c>
      <c r="G87" s="103">
        <f t="shared" si="4"/>
        <v>0</v>
      </c>
      <c r="H87" s="11">
        <v>0</v>
      </c>
      <c r="I87" s="15">
        <f t="shared" si="1"/>
        <v>84526.233782112686</v>
      </c>
      <c r="J87" s="11">
        <f t="shared" si="5"/>
        <v>270383.68934693682</v>
      </c>
      <c r="K87" s="11">
        <v>0</v>
      </c>
      <c r="L87" s="39">
        <f t="shared" si="9"/>
        <v>18595.77143206479</v>
      </c>
      <c r="M87" s="11">
        <f t="shared" si="11"/>
        <v>51500</v>
      </c>
      <c r="N87" s="102">
        <f t="shared" si="2"/>
        <v>340479.46077900159</v>
      </c>
      <c r="O87" s="103">
        <f t="shared" si="3"/>
        <v>-255953.2269968889</v>
      </c>
      <c r="P87" s="103">
        <f t="shared" si="7"/>
        <v>-1223563.7015880994</v>
      </c>
      <c r="Q87" s="10"/>
    </row>
    <row r="88" spans="1:17">
      <c r="A88" s="114">
        <f t="shared" ref="A88:B95" si="13">A87+1</f>
        <v>2052</v>
      </c>
      <c r="B88" s="114">
        <f t="shared" si="13"/>
        <v>93</v>
      </c>
      <c r="C88" s="11">
        <v>0</v>
      </c>
      <c r="D88" s="11">
        <v>0</v>
      </c>
      <c r="E88" s="11">
        <f t="shared" si="10"/>
        <v>53310.936133683812</v>
      </c>
      <c r="F88" s="11">
        <f t="shared" si="8"/>
        <v>33751.084661892259</v>
      </c>
      <c r="G88" s="103">
        <f t="shared" si="4"/>
        <v>0</v>
      </c>
      <c r="H88" s="11">
        <v>0</v>
      </c>
      <c r="I88" s="15">
        <f t="shared" si="1"/>
        <v>87062.020795576071</v>
      </c>
      <c r="J88" s="11">
        <f t="shared" si="5"/>
        <v>278495.20002734492</v>
      </c>
      <c r="K88" s="11">
        <v>0</v>
      </c>
      <c r="L88" s="39">
        <f t="shared" si="9"/>
        <v>19153.644575026734</v>
      </c>
      <c r="M88" s="11">
        <f t="shared" si="11"/>
        <v>53045</v>
      </c>
      <c r="N88" s="102">
        <f t="shared" si="2"/>
        <v>350693.84460237168</v>
      </c>
      <c r="O88" s="103">
        <f t="shared" si="3"/>
        <v>-263631.82380679564</v>
      </c>
      <c r="P88" s="103">
        <f t="shared" si="7"/>
        <v>-1487195.5253948951</v>
      </c>
      <c r="Q88" s="10"/>
    </row>
    <row r="89" spans="1:17">
      <c r="A89" s="114">
        <f t="shared" si="13"/>
        <v>2053</v>
      </c>
      <c r="B89" s="114">
        <f t="shared" si="13"/>
        <v>94</v>
      </c>
      <c r="C89" s="11">
        <v>0</v>
      </c>
      <c r="D89" s="11">
        <v>0</v>
      </c>
      <c r="E89" s="11">
        <f t="shared" si="10"/>
        <v>54910.264217694326</v>
      </c>
      <c r="F89" s="11">
        <f t="shared" si="8"/>
        <v>34763.617201749024</v>
      </c>
      <c r="G89" s="103">
        <f t="shared" si="4"/>
        <v>0</v>
      </c>
      <c r="H89" s="11">
        <v>0</v>
      </c>
      <c r="I89" s="15">
        <f t="shared" si="1"/>
        <v>89673.881419443351</v>
      </c>
      <c r="J89" s="11">
        <f t="shared" si="5"/>
        <v>286850.05602816527</v>
      </c>
      <c r="K89" s="11">
        <v>0</v>
      </c>
      <c r="L89" s="39">
        <f t="shared" si="9"/>
        <v>19728.253912277538</v>
      </c>
      <c r="M89" s="11">
        <f t="shared" si="11"/>
        <v>54636.35</v>
      </c>
      <c r="N89" s="102">
        <f t="shared" si="2"/>
        <v>361214.65994044277</v>
      </c>
      <c r="O89" s="103">
        <f t="shared" si="3"/>
        <v>-271540.77852099942</v>
      </c>
      <c r="P89" s="103">
        <f t="shared" si="7"/>
        <v>-1758736.3039158946</v>
      </c>
      <c r="Q89" s="10"/>
    </row>
    <row r="90" spans="1:17">
      <c r="A90" s="114">
        <f t="shared" si="13"/>
        <v>2054</v>
      </c>
      <c r="B90" s="114">
        <f t="shared" si="13"/>
        <v>95</v>
      </c>
      <c r="C90" s="11">
        <v>0</v>
      </c>
      <c r="D90" s="11">
        <v>0</v>
      </c>
      <c r="E90" s="11">
        <f t="shared" si="10"/>
        <v>56557.57214422516</v>
      </c>
      <c r="F90" s="11">
        <f t="shared" si="8"/>
        <v>35806.525717801494</v>
      </c>
      <c r="G90" s="103">
        <f t="shared" si="4"/>
        <v>0</v>
      </c>
      <c r="H90" s="11">
        <v>0</v>
      </c>
      <c r="I90" s="15">
        <f t="shared" si="1"/>
        <v>92364.097862026654</v>
      </c>
      <c r="J90" s="11">
        <f t="shared" si="5"/>
        <v>295455.55770901026</v>
      </c>
      <c r="K90" s="11">
        <v>0</v>
      </c>
      <c r="L90" s="39">
        <f t="shared" si="9"/>
        <v>20320.101529645865</v>
      </c>
      <c r="M90" s="11">
        <f t="shared" si="11"/>
        <v>56275.440499999997</v>
      </c>
      <c r="N90" s="102">
        <f t="shared" si="2"/>
        <v>372051.09973865608</v>
      </c>
      <c r="O90" s="103">
        <f t="shared" si="3"/>
        <v>-279687.00187662942</v>
      </c>
      <c r="P90" s="103">
        <f t="shared" si="7"/>
        <v>-2038423.305792524</v>
      </c>
      <c r="Q90" s="10"/>
    </row>
    <row r="91" spans="1:17">
      <c r="A91" s="114">
        <f t="shared" si="13"/>
        <v>2055</v>
      </c>
      <c r="B91" s="114">
        <f t="shared" si="13"/>
        <v>96</v>
      </c>
      <c r="C91" s="11">
        <v>0</v>
      </c>
      <c r="D91" s="11">
        <v>0</v>
      </c>
      <c r="E91" s="11">
        <f t="shared" si="10"/>
        <v>58254.299308551919</v>
      </c>
      <c r="F91" s="11">
        <f t="shared" si="8"/>
        <v>36880.721489335541</v>
      </c>
      <c r="G91" s="103">
        <f t="shared" si="4"/>
        <v>0</v>
      </c>
      <c r="H91" s="11">
        <v>0</v>
      </c>
      <c r="I91" s="15">
        <f t="shared" si="1"/>
        <v>95135.020797887468</v>
      </c>
      <c r="J91" s="11">
        <f t="shared" si="5"/>
        <v>304319.22444028058</v>
      </c>
      <c r="K91" s="11">
        <v>0</v>
      </c>
      <c r="L91" s="39">
        <f t="shared" si="9"/>
        <v>20929.704575535245</v>
      </c>
      <c r="M91" s="11">
        <f t="shared" si="11"/>
        <v>57963.703714999996</v>
      </c>
      <c r="N91" s="102">
        <f t="shared" si="2"/>
        <v>383212.63273081585</v>
      </c>
      <c r="O91" s="103">
        <f t="shared" si="3"/>
        <v>-288077.61193292838</v>
      </c>
      <c r="P91" s="103">
        <f t="shared" si="7"/>
        <v>-2326500.9177254522</v>
      </c>
      <c r="Q91" s="89"/>
    </row>
    <row r="92" spans="1:17">
      <c r="A92" s="114">
        <f t="shared" si="13"/>
        <v>2056</v>
      </c>
      <c r="B92" s="114">
        <f t="shared" si="13"/>
        <v>97</v>
      </c>
      <c r="C92" s="11">
        <v>0</v>
      </c>
      <c r="D92" s="11">
        <v>0</v>
      </c>
      <c r="E92" s="11">
        <f t="shared" si="10"/>
        <v>60001.928287808478</v>
      </c>
      <c r="F92" s="11">
        <f t="shared" si="8"/>
        <v>37987.143134015605</v>
      </c>
      <c r="G92" s="103">
        <f>IF(P91&gt;0,P91*G$52,0)</f>
        <v>0</v>
      </c>
      <c r="H92" s="11">
        <v>0</v>
      </c>
      <c r="I92" s="15">
        <f t="shared" si="1"/>
        <v>97989.071421824076</v>
      </c>
      <c r="J92" s="11">
        <f t="shared" si="5"/>
        <v>313448.80117348902</v>
      </c>
      <c r="K92" s="11">
        <v>0</v>
      </c>
      <c r="L92" s="39">
        <f t="shared" si="9"/>
        <v>21557.595712801296</v>
      </c>
      <c r="M92" s="11">
        <f t="shared" si="11"/>
        <v>59702.614826450001</v>
      </c>
      <c r="N92" s="102">
        <f>SUM(J92:M92)</f>
        <v>394709.01171274029</v>
      </c>
      <c r="O92" s="103">
        <f>I92-N92</f>
        <v>-296719.94029091625</v>
      </c>
      <c r="P92" s="103">
        <f>P91+O92</f>
        <v>-2623220.8580163685</v>
      </c>
      <c r="Q92" s="89"/>
    </row>
    <row r="93" spans="1:17">
      <c r="A93" s="114">
        <f t="shared" si="13"/>
        <v>2057</v>
      </c>
      <c r="B93" s="114">
        <f t="shared" si="13"/>
        <v>98</v>
      </c>
      <c r="C93" s="11">
        <v>0</v>
      </c>
      <c r="D93" s="11">
        <v>0</v>
      </c>
      <c r="E93" s="11">
        <f t="shared" si="10"/>
        <v>61801.986136442734</v>
      </c>
      <c r="F93" s="11">
        <f t="shared" si="8"/>
        <v>39126.757428036071</v>
      </c>
      <c r="G93" s="103">
        <f>IF(P92&gt;0,P92*G$52,0)</f>
        <v>0</v>
      </c>
      <c r="H93" s="11">
        <v>0</v>
      </c>
      <c r="I93" s="15">
        <f t="shared" si="1"/>
        <v>100928.74356447881</v>
      </c>
      <c r="J93" s="11">
        <f t="shared" si="5"/>
        <v>322852.26520869369</v>
      </c>
      <c r="K93" s="11">
        <v>0</v>
      </c>
      <c r="L93" s="39">
        <f t="shared" si="9"/>
        <v>22204.323584185338</v>
      </c>
      <c r="M93" s="11">
        <f t="shared" si="11"/>
        <v>61493.693271243501</v>
      </c>
      <c r="N93" s="102">
        <f>SUM(J93:M93)</f>
        <v>406550.2820641225</v>
      </c>
      <c r="O93" s="103">
        <f>I93-N93</f>
        <v>-305621.53849964368</v>
      </c>
      <c r="P93" s="103">
        <f>P92+O93</f>
        <v>-2928842.396516012</v>
      </c>
      <c r="Q93" s="89"/>
    </row>
    <row r="94" spans="1:17">
      <c r="A94" s="114">
        <f t="shared" si="13"/>
        <v>2058</v>
      </c>
      <c r="B94" s="114">
        <f t="shared" si="13"/>
        <v>99</v>
      </c>
      <c r="C94" s="11">
        <v>0</v>
      </c>
      <c r="D94" s="11">
        <v>0</v>
      </c>
      <c r="E94" s="11">
        <f t="shared" si="10"/>
        <v>63656.045720536014</v>
      </c>
      <c r="F94" s="11">
        <f t="shared" si="8"/>
        <v>40300.560150877158</v>
      </c>
      <c r="G94" s="103">
        <f>IF(P93&gt;0,P93*G$52,0)</f>
        <v>0</v>
      </c>
      <c r="H94" s="11">
        <v>0</v>
      </c>
      <c r="I94" s="15">
        <f t="shared" si="1"/>
        <v>103956.60587141317</v>
      </c>
      <c r="J94" s="11">
        <f t="shared" si="5"/>
        <v>332537.8331649545</v>
      </c>
      <c r="K94" s="11">
        <v>0</v>
      </c>
      <c r="L94" s="39">
        <f t="shared" si="9"/>
        <v>22870.453291710895</v>
      </c>
      <c r="M94" s="11">
        <f t="shared" si="11"/>
        <v>63338.504069380804</v>
      </c>
      <c r="N94" s="102">
        <f>SUM(J94:M94)</f>
        <v>418746.79052604618</v>
      </c>
      <c r="O94" s="103">
        <f>I94-N94</f>
        <v>-314790.18465463305</v>
      </c>
      <c r="P94" s="103">
        <f>P93+O94</f>
        <v>-3243632.5811706451</v>
      </c>
      <c r="Q94" s="89"/>
    </row>
    <row r="95" spans="1:17">
      <c r="A95" s="114">
        <f t="shared" si="13"/>
        <v>2059</v>
      </c>
      <c r="B95" s="114">
        <f t="shared" si="13"/>
        <v>100</v>
      </c>
      <c r="C95" s="11">
        <v>0</v>
      </c>
      <c r="D95" s="11">
        <v>0</v>
      </c>
      <c r="E95" s="11">
        <f t="shared" si="10"/>
        <v>65565.727092152098</v>
      </c>
      <c r="F95" s="11">
        <f t="shared" si="8"/>
        <v>41509.57695540347</v>
      </c>
      <c r="G95" s="103">
        <f>IF(P94&gt;0,P94*G$52,0)</f>
        <v>0</v>
      </c>
      <c r="H95" s="11">
        <v>0</v>
      </c>
      <c r="I95" s="15">
        <f>SUM(C95:H95)</f>
        <v>107075.30404755558</v>
      </c>
      <c r="J95" s="11">
        <f t="shared" si="5"/>
        <v>342513.96815990313</v>
      </c>
      <c r="K95" s="11">
        <v>0</v>
      </c>
      <c r="L95" s="39">
        <f>I95*L$52</f>
        <v>23556.566890462225</v>
      </c>
      <c r="M95" s="11">
        <f t="shared" si="11"/>
        <v>65238.659191462233</v>
      </c>
      <c r="N95" s="102">
        <f>SUM(J95:M95)</f>
        <v>431309.19424182759</v>
      </c>
      <c r="O95" s="103">
        <f>I95-N95</f>
        <v>-324233.89019427204</v>
      </c>
      <c r="P95" s="103">
        <f>P94+O95</f>
        <v>-3567866.4713649172</v>
      </c>
      <c r="Q95" s="89"/>
    </row>
    <row r="96" spans="1:17" s="54" customFormat="1">
      <c r="A96" s="10"/>
      <c r="B96" s="13"/>
      <c r="C96" s="89"/>
      <c r="D96" s="89"/>
      <c r="E96" s="89"/>
      <c r="F96" s="89"/>
      <c r="G96" s="89"/>
      <c r="H96" s="89"/>
      <c r="I96" s="89"/>
      <c r="J96" s="89"/>
      <c r="K96" s="89"/>
      <c r="L96" s="89"/>
      <c r="M96" s="89"/>
      <c r="N96" s="89"/>
      <c r="O96" s="89"/>
      <c r="P96" s="89"/>
      <c r="Q96" s="89"/>
    </row>
    <row r="97" spans="1:17">
      <c r="A97" s="134"/>
      <c r="B97" s="134"/>
      <c r="C97" s="134"/>
      <c r="D97" s="134"/>
      <c r="E97" s="134"/>
      <c r="F97" s="134"/>
      <c r="G97" s="134"/>
      <c r="H97" s="134"/>
      <c r="I97" s="134"/>
      <c r="J97" s="134"/>
      <c r="K97" s="134"/>
      <c r="L97" s="134"/>
      <c r="M97" s="134"/>
      <c r="N97" s="134"/>
      <c r="O97" s="134"/>
      <c r="P97" s="134"/>
      <c r="Q97" s="134"/>
    </row>
    <row r="98" spans="1:17" s="54" customFormat="1">
      <c r="A98" s="65"/>
      <c r="B98" s="65"/>
      <c r="C98" s="65"/>
      <c r="D98" s="65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65"/>
    </row>
  </sheetData>
  <sheetCalcPr fullCalcOnLoad="1"/>
  <mergeCells count="4">
    <mergeCell ref="A97:Q97"/>
    <mergeCell ref="A46:Q46"/>
    <mergeCell ref="A1:Q1"/>
    <mergeCell ref="A50:Q50"/>
  </mergeCells>
  <phoneticPr fontId="2" type="noConversion"/>
  <pageMargins left="0.5" right="0.25" top="1.25" bottom="0.25" header="0.5" footer="0.5"/>
  <rowBreaks count="2" manualBreakCount="2">
    <brk id="47" max="16383" man="1" pt="1"/>
    <brk id="99" max="16383" man="1" pt="1"/>
  </rowBreaks>
  <colBreaks count="1" manualBreakCount="1">
    <brk id="17" max="1048575" man="1" pt="1"/>
  </colBreaks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Q97"/>
  <sheetViews>
    <sheetView zoomScale="125" workbookViewId="0">
      <selection sqref="A1:Q1"/>
    </sheetView>
  </sheetViews>
  <sheetFormatPr baseColWidth="10" defaultRowHeight="13"/>
  <cols>
    <col min="1" max="1" width="8.140625" customWidth="1"/>
    <col min="2" max="2" width="6" customWidth="1"/>
    <col min="3" max="14" width="8.28515625" customWidth="1"/>
    <col min="15" max="15" width="9.5703125" customWidth="1"/>
    <col min="16" max="16" width="11" customWidth="1"/>
    <col min="17" max="17" width="12.85546875" customWidth="1"/>
  </cols>
  <sheetData>
    <row r="1" spans="1:17" ht="18">
      <c r="A1" s="131" t="s">
        <v>165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2"/>
      <c r="P1" s="138"/>
      <c r="Q1" s="138"/>
    </row>
    <row r="2" spans="1:17">
      <c r="L2" s="2"/>
    </row>
    <row r="3" spans="1:17" ht="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7" ht="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7" ht="1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7" ht="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7" ht="1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7" ht="1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7" ht="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7" ht="1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7" ht="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7" ht="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7" ht="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7" ht="1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7" ht="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7" ht="1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ht="1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ht="1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ht="1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ht="1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ht="1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ht="1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ht="1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ht="1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 ht="1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3" ht="1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 ht="1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 ht="1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ht="1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 ht="1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3" ht="1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ht="1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7" ht="1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7" ht="1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 spans="1:17" ht="1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1:17" ht="1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1:17" ht="1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1:17" ht="1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 spans="1:17" ht="1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 spans="1:17" ht="1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7" ht="1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7" ht="1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</row>
    <row r="43" spans="1:17">
      <c r="J43" s="2"/>
      <c r="L43" s="5"/>
    </row>
    <row r="44" spans="1:17">
      <c r="J44" s="2"/>
      <c r="L44" s="5"/>
    </row>
    <row r="45" spans="1:17">
      <c r="J45" s="2"/>
      <c r="L45" s="5"/>
    </row>
    <row r="46" spans="1:17">
      <c r="A46" s="133"/>
      <c r="B46" s="133"/>
      <c r="C46" s="133"/>
      <c r="D46" s="133"/>
      <c r="E46" s="133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7"/>
      <c r="Q46" s="137"/>
    </row>
    <row r="47" spans="1:17">
      <c r="J47" s="2"/>
      <c r="L47" s="5"/>
    </row>
    <row r="48" spans="1:17">
      <c r="J48" s="2"/>
      <c r="L48" s="5"/>
    </row>
    <row r="49" spans="1:17">
      <c r="A49" s="17"/>
      <c r="J49" s="2"/>
      <c r="L49" s="5"/>
    </row>
    <row r="50" spans="1:17" ht="18">
      <c r="A50" s="135" t="str">
        <f>A1</f>
        <v>Scenario 3:  John and Jane both retire at age 66.</v>
      </c>
      <c r="B50" s="135"/>
      <c r="C50" s="135"/>
      <c r="D50" s="135"/>
      <c r="E50" s="135"/>
      <c r="F50" s="135"/>
      <c r="G50" s="135"/>
      <c r="H50" s="135"/>
      <c r="I50" s="135"/>
      <c r="J50" s="135"/>
      <c r="K50" s="135"/>
      <c r="L50" s="135"/>
      <c r="M50" s="135"/>
      <c r="N50" s="135"/>
      <c r="O50" s="136"/>
      <c r="P50" s="139"/>
      <c r="Q50" s="139"/>
    </row>
    <row r="51" spans="1:17">
      <c r="A51" s="89"/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107"/>
      <c r="M51" s="89"/>
      <c r="N51" s="5"/>
      <c r="O51" s="89"/>
      <c r="P51" s="89"/>
      <c r="Q51" s="89"/>
    </row>
    <row r="52" spans="1:17">
      <c r="A52" s="49"/>
      <c r="B52" s="91" t="s">
        <v>199</v>
      </c>
      <c r="C52" s="95">
        <v>0.03</v>
      </c>
      <c r="D52" s="95">
        <v>0.03</v>
      </c>
      <c r="E52" s="95">
        <v>0.03</v>
      </c>
      <c r="F52" s="95">
        <v>0.03</v>
      </c>
      <c r="G52" s="96">
        <v>0.06</v>
      </c>
      <c r="H52" s="95">
        <v>0.03</v>
      </c>
      <c r="I52" s="92"/>
      <c r="J52" s="95">
        <v>0.03</v>
      </c>
      <c r="K52" s="95"/>
      <c r="L52" s="97">
        <v>0.22</v>
      </c>
      <c r="M52" s="95">
        <v>0.03</v>
      </c>
      <c r="N52" s="98"/>
      <c r="O52" s="98"/>
      <c r="P52" s="89"/>
      <c r="Q52" s="89"/>
    </row>
    <row r="53" spans="1:17" s="54" customFormat="1">
      <c r="A53" s="49"/>
      <c r="B53" s="91"/>
      <c r="C53" s="92"/>
      <c r="D53" s="92"/>
      <c r="E53" s="92"/>
      <c r="F53" s="99"/>
      <c r="G53" s="96"/>
      <c r="H53" s="99"/>
      <c r="I53" s="92"/>
      <c r="J53" s="99"/>
      <c r="K53" s="100"/>
      <c r="L53" s="99"/>
      <c r="M53" s="99"/>
      <c r="N53" s="98"/>
      <c r="O53" s="98"/>
      <c r="P53" s="6" t="s">
        <v>53</v>
      </c>
      <c r="Q53" s="89"/>
    </row>
    <row r="54" spans="1:17">
      <c r="A54" s="7" t="s">
        <v>54</v>
      </c>
      <c r="B54" s="16" t="s">
        <v>200</v>
      </c>
      <c r="C54" s="9" t="s">
        <v>11</v>
      </c>
      <c r="D54" s="9" t="s">
        <v>13</v>
      </c>
      <c r="E54" s="73" t="s">
        <v>14</v>
      </c>
      <c r="F54" s="9" t="s">
        <v>15</v>
      </c>
      <c r="G54" s="6" t="s">
        <v>16</v>
      </c>
      <c r="H54" s="9" t="s">
        <v>17</v>
      </c>
      <c r="I54" s="14" t="s">
        <v>18</v>
      </c>
      <c r="J54" s="9" t="s">
        <v>19</v>
      </c>
      <c r="K54" s="9" t="s">
        <v>20</v>
      </c>
      <c r="L54" s="9" t="s">
        <v>21</v>
      </c>
      <c r="M54" s="9" t="s">
        <v>22</v>
      </c>
      <c r="N54" s="14" t="s">
        <v>23</v>
      </c>
      <c r="O54" s="9" t="s">
        <v>24</v>
      </c>
      <c r="P54" s="6" t="s">
        <v>25</v>
      </c>
      <c r="Q54" s="8" t="s">
        <v>43</v>
      </c>
    </row>
    <row r="55" spans="1:17">
      <c r="A55" s="114">
        <v>2019</v>
      </c>
      <c r="B55" s="101">
        <f>A55-1959</f>
        <v>60</v>
      </c>
      <c r="C55" s="11">
        <f>IncExp!G4</f>
        <v>120000</v>
      </c>
      <c r="D55" s="11">
        <f>IncExp!G5</f>
        <v>90000</v>
      </c>
      <c r="E55" s="39">
        <v>0</v>
      </c>
      <c r="F55" s="11">
        <v>0</v>
      </c>
      <c r="G55" s="39">
        <f>IncExp!G7</f>
        <v>70000</v>
      </c>
      <c r="H55" s="11">
        <v>0</v>
      </c>
      <c r="I55" s="15">
        <f>SUM(C55:H55)</f>
        <v>280000</v>
      </c>
      <c r="J55" s="11">
        <f>RecExp!G42</f>
        <v>105000</v>
      </c>
      <c r="K55" s="11">
        <f>IncExp!C12</f>
        <v>24000</v>
      </c>
      <c r="L55" s="11">
        <f>IncExp!C45</f>
        <v>71000</v>
      </c>
      <c r="M55" s="39">
        <f>IncExp!G25</f>
        <v>5000</v>
      </c>
      <c r="N55" s="102">
        <f>SUM(J55:M55)</f>
        <v>205000</v>
      </c>
      <c r="O55" s="103">
        <f>I55-N55</f>
        <v>75000</v>
      </c>
      <c r="P55" s="11">
        <f>BalSht!G31</f>
        <v>1700000</v>
      </c>
      <c r="Q55" s="88" t="s">
        <v>26</v>
      </c>
    </row>
    <row r="56" spans="1:17">
      <c r="A56" s="114">
        <f t="shared" ref="A56:B71" si="0">A55+1</f>
        <v>2020</v>
      </c>
      <c r="B56" s="114">
        <f t="shared" si="0"/>
        <v>61</v>
      </c>
      <c r="C56" s="11">
        <f t="shared" ref="C56:D60" si="1">C55*(1+C$52)</f>
        <v>123600</v>
      </c>
      <c r="D56" s="11">
        <f t="shared" si="1"/>
        <v>92700</v>
      </c>
      <c r="E56" s="39">
        <v>0</v>
      </c>
      <c r="F56" s="11">
        <f>F55*F$52</f>
        <v>0</v>
      </c>
      <c r="G56" s="104">
        <f>IF(P55&gt;0,P55*G$52,0)</f>
        <v>102000</v>
      </c>
      <c r="H56" s="11">
        <v>0</v>
      </c>
      <c r="I56" s="15">
        <f t="shared" ref="I56:I94" si="2">SUM(C56:H56)</f>
        <v>318300</v>
      </c>
      <c r="J56" s="11">
        <f t="shared" ref="J56:J95" si="3">J55*(1+J$52)</f>
        <v>108150</v>
      </c>
      <c r="K56" s="11">
        <f>K55</f>
        <v>24000</v>
      </c>
      <c r="L56" s="39">
        <f>I56*L$52</f>
        <v>70026</v>
      </c>
      <c r="M56" s="12">
        <f>M55</f>
        <v>5000</v>
      </c>
      <c r="N56" s="102">
        <f t="shared" ref="N56:N91" si="4">SUM(J56:M56)</f>
        <v>207176</v>
      </c>
      <c r="O56" s="103">
        <f t="shared" ref="O56:O91" si="5">I56-N56</f>
        <v>111124</v>
      </c>
      <c r="P56" s="103">
        <f>P55+O56</f>
        <v>1811124</v>
      </c>
      <c r="Q56" s="88"/>
    </row>
    <row r="57" spans="1:17">
      <c r="A57" s="114">
        <f t="shared" si="0"/>
        <v>2021</v>
      </c>
      <c r="B57" s="114">
        <f t="shared" si="0"/>
        <v>62</v>
      </c>
      <c r="C57" s="11">
        <f t="shared" si="1"/>
        <v>127308</v>
      </c>
      <c r="D57" s="11">
        <f t="shared" si="1"/>
        <v>95481</v>
      </c>
      <c r="E57" s="39">
        <v>0</v>
      </c>
      <c r="F57" s="11">
        <f>F56*F$52</f>
        <v>0</v>
      </c>
      <c r="G57" s="103">
        <f t="shared" ref="G57:G91" si="6">IF(P56&gt;0,P56*G$52,0)</f>
        <v>108667.44</v>
      </c>
      <c r="H57" s="11">
        <v>0</v>
      </c>
      <c r="I57" s="15">
        <f t="shared" si="2"/>
        <v>331456.44</v>
      </c>
      <c r="J57" s="11">
        <f t="shared" si="3"/>
        <v>111394.5</v>
      </c>
      <c r="K57" s="11">
        <f t="shared" ref="K57:K76" si="7">K56</f>
        <v>24000</v>
      </c>
      <c r="L57" s="39">
        <f>I57*L$52</f>
        <v>72920.416800000006</v>
      </c>
      <c r="M57" s="11">
        <f>M56*(1+M$52)</f>
        <v>5150</v>
      </c>
      <c r="N57" s="102">
        <f t="shared" si="4"/>
        <v>213464.91680000001</v>
      </c>
      <c r="O57" s="103">
        <f t="shared" si="5"/>
        <v>117991.5232</v>
      </c>
      <c r="P57" s="103">
        <f t="shared" ref="P57:P91" si="8">P56+O57</f>
        <v>1929115.5231999999</v>
      </c>
      <c r="Q57" s="89"/>
    </row>
    <row r="58" spans="1:17">
      <c r="A58" s="114">
        <f t="shared" si="0"/>
        <v>2022</v>
      </c>
      <c r="B58" s="114">
        <f t="shared" si="0"/>
        <v>63</v>
      </c>
      <c r="C58" s="11">
        <f t="shared" si="1"/>
        <v>131127.24</v>
      </c>
      <c r="D58" s="11">
        <f t="shared" si="1"/>
        <v>98345.430000000008</v>
      </c>
      <c r="E58" s="39">
        <v>0</v>
      </c>
      <c r="F58" s="11">
        <f>F57*F$52</f>
        <v>0</v>
      </c>
      <c r="G58" s="103">
        <f t="shared" si="6"/>
        <v>115746.931392</v>
      </c>
      <c r="H58" s="11">
        <v>0</v>
      </c>
      <c r="I58" s="15">
        <f t="shared" si="2"/>
        <v>345219.60139199998</v>
      </c>
      <c r="J58" s="11">
        <f t="shared" si="3"/>
        <v>114736.33500000001</v>
      </c>
      <c r="K58" s="11">
        <f t="shared" si="7"/>
        <v>24000</v>
      </c>
      <c r="L58" s="39">
        <f t="shared" ref="L58:L94" si="9">I58*L$52</f>
        <v>75948.312306239997</v>
      </c>
      <c r="M58" s="11">
        <f>M57*(1+M$52)</f>
        <v>5304.5</v>
      </c>
      <c r="N58" s="102">
        <f t="shared" si="4"/>
        <v>219989.14730624002</v>
      </c>
      <c r="O58" s="103">
        <f t="shared" si="5"/>
        <v>125230.45408575996</v>
      </c>
      <c r="P58" s="103">
        <f t="shared" si="8"/>
        <v>2054345.97728576</v>
      </c>
      <c r="Q58" s="89"/>
    </row>
    <row r="59" spans="1:17">
      <c r="A59" s="114">
        <f t="shared" si="0"/>
        <v>2023</v>
      </c>
      <c r="B59" s="114">
        <f t="shared" si="0"/>
        <v>64</v>
      </c>
      <c r="C59" s="11">
        <f t="shared" si="1"/>
        <v>135061.05719999998</v>
      </c>
      <c r="D59" s="11">
        <f t="shared" si="1"/>
        <v>101295.79290000001</v>
      </c>
      <c r="E59" s="39">
        <v>0</v>
      </c>
      <c r="F59" s="11">
        <f>F58*F$52</f>
        <v>0</v>
      </c>
      <c r="G59" s="103">
        <f t="shared" si="6"/>
        <v>123260.7586371456</v>
      </c>
      <c r="H59" s="11">
        <v>0</v>
      </c>
      <c r="I59" s="15">
        <f t="shared" si="2"/>
        <v>359617.60873714555</v>
      </c>
      <c r="J59" s="11">
        <f t="shared" si="3"/>
        <v>118178.42505000001</v>
      </c>
      <c r="K59" s="11">
        <f t="shared" si="7"/>
        <v>24000</v>
      </c>
      <c r="L59" s="39">
        <f t="shared" si="9"/>
        <v>79115.873922172017</v>
      </c>
      <c r="M59" s="11">
        <f>M58*(1+M$52)</f>
        <v>5463.6350000000002</v>
      </c>
      <c r="N59" s="102">
        <f t="shared" si="4"/>
        <v>226757.93397217203</v>
      </c>
      <c r="O59" s="103">
        <f t="shared" si="5"/>
        <v>132859.67476497352</v>
      </c>
      <c r="P59" s="103">
        <f t="shared" si="8"/>
        <v>2187205.6520507336</v>
      </c>
      <c r="Q59" s="89"/>
    </row>
    <row r="60" spans="1:17">
      <c r="A60" s="114">
        <f t="shared" si="0"/>
        <v>2024</v>
      </c>
      <c r="B60" s="114">
        <f t="shared" si="0"/>
        <v>65</v>
      </c>
      <c r="C60" s="11">
        <f t="shared" si="1"/>
        <v>139112.888916</v>
      </c>
      <c r="D60" s="11">
        <f t="shared" si="1"/>
        <v>104334.66668700002</v>
      </c>
      <c r="E60" s="39">
        <v>0</v>
      </c>
      <c r="F60" s="11">
        <f>F59*F$52</f>
        <v>0</v>
      </c>
      <c r="G60" s="103">
        <f t="shared" si="6"/>
        <v>131232.33912304402</v>
      </c>
      <c r="H60" s="11">
        <v>0</v>
      </c>
      <c r="I60" s="15">
        <f t="shared" si="2"/>
        <v>374679.89472604403</v>
      </c>
      <c r="J60" s="11">
        <f t="shared" si="3"/>
        <v>121723.77780150001</v>
      </c>
      <c r="K60" s="11">
        <f t="shared" si="7"/>
        <v>24000</v>
      </c>
      <c r="L60" s="39">
        <f t="shared" si="9"/>
        <v>82429.576839729692</v>
      </c>
      <c r="M60" s="11">
        <f>M59*(1+M$52)</f>
        <v>5627.5440500000004</v>
      </c>
      <c r="N60" s="102">
        <f t="shared" si="4"/>
        <v>233780.89869122967</v>
      </c>
      <c r="O60" s="103">
        <f t="shared" si="5"/>
        <v>140898.99603481436</v>
      </c>
      <c r="P60" s="103">
        <f t="shared" si="8"/>
        <v>2328104.6480855481</v>
      </c>
      <c r="Q60" s="89"/>
    </row>
    <row r="61" spans="1:17">
      <c r="A61" s="114">
        <f t="shared" si="0"/>
        <v>2025</v>
      </c>
      <c r="B61" s="114">
        <f t="shared" si="0"/>
        <v>66</v>
      </c>
      <c r="C61" s="11">
        <v>0</v>
      </c>
      <c r="D61" s="11">
        <v>0</v>
      </c>
      <c r="E61" s="11">
        <f>2000*12</f>
        <v>24000</v>
      </c>
      <c r="F61" s="11">
        <f>1500*12</f>
        <v>18000</v>
      </c>
      <c r="G61" s="103">
        <f t="shared" si="6"/>
        <v>139686.27888513287</v>
      </c>
      <c r="H61" s="11">
        <v>0</v>
      </c>
      <c r="I61" s="15">
        <f t="shared" si="2"/>
        <v>181686.27888513287</v>
      </c>
      <c r="J61" s="11">
        <f t="shared" si="3"/>
        <v>125375.49113554502</v>
      </c>
      <c r="K61" s="11">
        <f t="shared" si="7"/>
        <v>24000</v>
      </c>
      <c r="L61" s="39">
        <f t="shared" si="9"/>
        <v>39970.981354729229</v>
      </c>
      <c r="M61" s="11">
        <f>M60*(1+M$52)</f>
        <v>5796.3703715000001</v>
      </c>
      <c r="N61" s="102">
        <f t="shared" si="4"/>
        <v>195142.84286177423</v>
      </c>
      <c r="O61" s="103">
        <f t="shared" si="5"/>
        <v>-13456.563976641366</v>
      </c>
      <c r="P61" s="103">
        <f t="shared" si="8"/>
        <v>2314648.0841089068</v>
      </c>
      <c r="Q61" s="89"/>
    </row>
    <row r="62" spans="1:17">
      <c r="A62" s="114">
        <f t="shared" si="0"/>
        <v>2026</v>
      </c>
      <c r="B62" s="114">
        <f t="shared" si="0"/>
        <v>67</v>
      </c>
      <c r="C62" s="11">
        <v>0</v>
      </c>
      <c r="D62" s="11">
        <v>0</v>
      </c>
      <c r="E62" s="11">
        <f t="shared" ref="E62:F95" si="10">E61*(1+E$52)</f>
        <v>24720</v>
      </c>
      <c r="F62" s="11">
        <f t="shared" si="10"/>
        <v>18540</v>
      </c>
      <c r="G62" s="103">
        <f t="shared" si="6"/>
        <v>138878.88504653441</v>
      </c>
      <c r="H62" s="11">
        <v>0</v>
      </c>
      <c r="I62" s="15">
        <f t="shared" si="2"/>
        <v>182138.88504653441</v>
      </c>
      <c r="J62" s="11">
        <f t="shared" si="3"/>
        <v>129136.75586961137</v>
      </c>
      <c r="K62" s="11">
        <f t="shared" si="7"/>
        <v>24000</v>
      </c>
      <c r="L62" s="39">
        <f t="shared" si="9"/>
        <v>40070.554710237571</v>
      </c>
      <c r="M62" s="106">
        <f>M61*10</f>
        <v>57963.703715000003</v>
      </c>
      <c r="N62" s="102">
        <f t="shared" si="4"/>
        <v>251171.01429484895</v>
      </c>
      <c r="O62" s="103">
        <f t="shared" si="5"/>
        <v>-69032.129248314537</v>
      </c>
      <c r="P62" s="103">
        <f t="shared" si="8"/>
        <v>2245615.9548605923</v>
      </c>
      <c r="Q62" s="89" t="s">
        <v>134</v>
      </c>
    </row>
    <row r="63" spans="1:17">
      <c r="A63" s="114">
        <f t="shared" si="0"/>
        <v>2027</v>
      </c>
      <c r="B63" s="114">
        <f t="shared" si="0"/>
        <v>68</v>
      </c>
      <c r="C63" s="11">
        <v>0</v>
      </c>
      <c r="D63" s="11">
        <v>0</v>
      </c>
      <c r="E63" s="11">
        <f t="shared" si="10"/>
        <v>25461.600000000002</v>
      </c>
      <c r="F63" s="11">
        <f t="shared" si="10"/>
        <v>19096.2</v>
      </c>
      <c r="G63" s="103">
        <f t="shared" si="6"/>
        <v>134736.95729163554</v>
      </c>
      <c r="H63" s="11">
        <v>0</v>
      </c>
      <c r="I63" s="15">
        <f t="shared" si="2"/>
        <v>179294.75729163556</v>
      </c>
      <c r="J63" s="11">
        <f t="shared" si="3"/>
        <v>133010.85854569971</v>
      </c>
      <c r="K63" s="11">
        <f t="shared" si="7"/>
        <v>24000</v>
      </c>
      <c r="L63" s="39">
        <f t="shared" si="9"/>
        <v>39444.846604159822</v>
      </c>
      <c r="M63" s="106">
        <f t="shared" ref="M63:M95" si="11">M62*(1+M$52)</f>
        <v>59702.614826450008</v>
      </c>
      <c r="N63" s="102">
        <f t="shared" si="4"/>
        <v>256158.31997630955</v>
      </c>
      <c r="O63" s="103">
        <f t="shared" si="5"/>
        <v>-76863.562684673991</v>
      </c>
      <c r="P63" s="103">
        <f t="shared" si="8"/>
        <v>2168752.3921759184</v>
      </c>
      <c r="Q63" s="89" t="s">
        <v>134</v>
      </c>
    </row>
    <row r="64" spans="1:17">
      <c r="A64" s="114">
        <f t="shared" si="0"/>
        <v>2028</v>
      </c>
      <c r="B64" s="114">
        <f t="shared" si="0"/>
        <v>69</v>
      </c>
      <c r="C64" s="11">
        <v>0</v>
      </c>
      <c r="D64" s="11">
        <v>0</v>
      </c>
      <c r="E64" s="11">
        <f t="shared" si="10"/>
        <v>26225.448000000004</v>
      </c>
      <c r="F64" s="11">
        <f t="shared" si="10"/>
        <v>19669.086000000003</v>
      </c>
      <c r="G64" s="103">
        <f t="shared" si="6"/>
        <v>130125.1435305551</v>
      </c>
      <c r="H64" s="11">
        <v>0</v>
      </c>
      <c r="I64" s="15">
        <f t="shared" si="2"/>
        <v>176019.67753055511</v>
      </c>
      <c r="J64" s="11">
        <f t="shared" si="3"/>
        <v>137001.1843020707</v>
      </c>
      <c r="K64" s="11">
        <f t="shared" si="7"/>
        <v>24000</v>
      </c>
      <c r="L64" s="39">
        <f t="shared" si="9"/>
        <v>38724.329056722127</v>
      </c>
      <c r="M64" s="106">
        <f t="shared" si="11"/>
        <v>61493.693271243508</v>
      </c>
      <c r="N64" s="102">
        <f t="shared" si="4"/>
        <v>261219.20663003632</v>
      </c>
      <c r="O64" s="103">
        <f t="shared" si="5"/>
        <v>-85199.529099481209</v>
      </c>
      <c r="P64" s="103">
        <f t="shared" si="8"/>
        <v>2083552.8630764373</v>
      </c>
      <c r="Q64" s="89" t="s">
        <v>134</v>
      </c>
    </row>
    <row r="65" spans="1:17">
      <c r="A65" s="114">
        <f t="shared" si="0"/>
        <v>2029</v>
      </c>
      <c r="B65" s="114">
        <f t="shared" si="0"/>
        <v>70</v>
      </c>
      <c r="C65" s="11">
        <v>0</v>
      </c>
      <c r="D65" s="11">
        <v>0</v>
      </c>
      <c r="E65" s="11">
        <f t="shared" si="10"/>
        <v>27012.211440000006</v>
      </c>
      <c r="F65" s="11">
        <f t="shared" si="10"/>
        <v>20259.158580000003</v>
      </c>
      <c r="G65" s="103">
        <f t="shared" si="6"/>
        <v>125013.17178458623</v>
      </c>
      <c r="H65" s="11">
        <v>0</v>
      </c>
      <c r="I65" s="15">
        <f t="shared" si="2"/>
        <v>172284.54180458625</v>
      </c>
      <c r="J65" s="11">
        <f t="shared" si="3"/>
        <v>141111.21983113282</v>
      </c>
      <c r="K65" s="11">
        <f t="shared" si="7"/>
        <v>24000</v>
      </c>
      <c r="L65" s="39">
        <f t="shared" si="9"/>
        <v>37902.599197008974</v>
      </c>
      <c r="M65" s="11">
        <f>M64*(1+M$52)/10</f>
        <v>6333.8504069380815</v>
      </c>
      <c r="N65" s="102">
        <f t="shared" si="4"/>
        <v>209347.66943507988</v>
      </c>
      <c r="O65" s="103">
        <f t="shared" si="5"/>
        <v>-37063.127630493633</v>
      </c>
      <c r="P65" s="103">
        <f t="shared" si="8"/>
        <v>2046489.7354459437</v>
      </c>
      <c r="Q65" s="89"/>
    </row>
    <row r="66" spans="1:17">
      <c r="A66" s="114">
        <f t="shared" si="0"/>
        <v>2030</v>
      </c>
      <c r="B66" s="114">
        <f t="shared" si="0"/>
        <v>71</v>
      </c>
      <c r="C66" s="11">
        <v>0</v>
      </c>
      <c r="D66" s="11">
        <v>0</v>
      </c>
      <c r="E66" s="11">
        <f t="shared" si="10"/>
        <v>27822.577783200006</v>
      </c>
      <c r="F66" s="11">
        <f t="shared" si="10"/>
        <v>20866.933337400005</v>
      </c>
      <c r="G66" s="103">
        <f t="shared" si="6"/>
        <v>122789.38412675662</v>
      </c>
      <c r="H66" s="11">
        <v>0</v>
      </c>
      <c r="I66" s="15">
        <f t="shared" si="2"/>
        <v>171478.89524735662</v>
      </c>
      <c r="J66" s="11">
        <f t="shared" si="3"/>
        <v>145344.55642606682</v>
      </c>
      <c r="K66" s="11">
        <f t="shared" si="7"/>
        <v>24000</v>
      </c>
      <c r="L66" s="39">
        <f t="shared" si="9"/>
        <v>37725.356954418457</v>
      </c>
      <c r="M66" s="11">
        <f t="shared" si="11"/>
        <v>6523.8659191462239</v>
      </c>
      <c r="N66" s="102">
        <f t="shared" si="4"/>
        <v>213593.77929963148</v>
      </c>
      <c r="O66" s="103">
        <f t="shared" si="5"/>
        <v>-42114.884052274865</v>
      </c>
      <c r="P66" s="103">
        <f t="shared" si="8"/>
        <v>2004374.8513936689</v>
      </c>
    </row>
    <row r="67" spans="1:17">
      <c r="A67" s="114">
        <f t="shared" si="0"/>
        <v>2031</v>
      </c>
      <c r="B67" s="114">
        <f t="shared" si="0"/>
        <v>72</v>
      </c>
      <c r="C67" s="11">
        <v>0</v>
      </c>
      <c r="D67" s="11">
        <v>0</v>
      </c>
      <c r="E67" s="11">
        <f t="shared" si="10"/>
        <v>28657.255116696007</v>
      </c>
      <c r="F67" s="11">
        <f t="shared" si="10"/>
        <v>21492.941337522007</v>
      </c>
      <c r="G67" s="103">
        <f t="shared" si="6"/>
        <v>120262.49108362013</v>
      </c>
      <c r="H67" s="11">
        <v>0</v>
      </c>
      <c r="I67" s="15">
        <f t="shared" si="2"/>
        <v>170412.68753783815</v>
      </c>
      <c r="J67" s="11">
        <f t="shared" si="3"/>
        <v>149704.89311884882</v>
      </c>
      <c r="K67" s="11">
        <f t="shared" si="7"/>
        <v>24000</v>
      </c>
      <c r="L67" s="39">
        <f t="shared" si="9"/>
        <v>37490.791258324396</v>
      </c>
      <c r="M67" s="11">
        <f t="shared" si="11"/>
        <v>6719.5818967206105</v>
      </c>
      <c r="N67" s="102">
        <f t="shared" si="4"/>
        <v>217915.26627389382</v>
      </c>
      <c r="O67" s="103">
        <f t="shared" si="5"/>
        <v>-47502.578736055671</v>
      </c>
      <c r="P67" s="103">
        <f t="shared" si="8"/>
        <v>1956872.2726576133</v>
      </c>
    </row>
    <row r="68" spans="1:17">
      <c r="A68" s="114">
        <f t="shared" si="0"/>
        <v>2032</v>
      </c>
      <c r="B68" s="114">
        <f t="shared" si="0"/>
        <v>73</v>
      </c>
      <c r="C68" s="11">
        <v>0</v>
      </c>
      <c r="D68" s="11">
        <v>0</v>
      </c>
      <c r="E68" s="11">
        <f t="shared" si="10"/>
        <v>29516.972770196888</v>
      </c>
      <c r="F68" s="11">
        <f t="shared" si="10"/>
        <v>22137.729577647668</v>
      </c>
      <c r="G68" s="103">
        <f t="shared" si="6"/>
        <v>117412.33635945679</v>
      </c>
      <c r="H68" s="11">
        <v>0</v>
      </c>
      <c r="I68" s="15">
        <f t="shared" si="2"/>
        <v>169067.03870730134</v>
      </c>
      <c r="J68" s="11">
        <f t="shared" si="3"/>
        <v>154196.0399124143</v>
      </c>
      <c r="K68" s="11">
        <f t="shared" si="7"/>
        <v>24000</v>
      </c>
      <c r="L68" s="39">
        <f t="shared" si="9"/>
        <v>37194.748515606298</v>
      </c>
      <c r="M68" s="11">
        <f t="shared" si="11"/>
        <v>6921.1693536222292</v>
      </c>
      <c r="N68" s="102">
        <f t="shared" si="4"/>
        <v>222311.95778164282</v>
      </c>
      <c r="O68" s="103">
        <f t="shared" si="5"/>
        <v>-53244.91907434148</v>
      </c>
      <c r="P68" s="103">
        <f t="shared" si="8"/>
        <v>1903627.3535832718</v>
      </c>
    </row>
    <row r="69" spans="1:17">
      <c r="A69" s="114">
        <f t="shared" si="0"/>
        <v>2033</v>
      </c>
      <c r="B69" s="114">
        <f t="shared" si="0"/>
        <v>74</v>
      </c>
      <c r="C69" s="11">
        <v>0</v>
      </c>
      <c r="D69" s="11">
        <v>0</v>
      </c>
      <c r="E69" s="11">
        <f t="shared" si="10"/>
        <v>30402.481953302795</v>
      </c>
      <c r="F69" s="11">
        <f t="shared" si="10"/>
        <v>22801.861464977097</v>
      </c>
      <c r="G69" s="103">
        <f t="shared" si="6"/>
        <v>114217.6412149963</v>
      </c>
      <c r="H69" s="11">
        <v>0</v>
      </c>
      <c r="I69" s="15">
        <f t="shared" si="2"/>
        <v>167421.98463327618</v>
      </c>
      <c r="J69" s="11">
        <f t="shared" si="3"/>
        <v>158821.92110978672</v>
      </c>
      <c r="K69" s="11">
        <f t="shared" si="7"/>
        <v>24000</v>
      </c>
      <c r="L69" s="39">
        <f t="shared" si="9"/>
        <v>36832.836619320762</v>
      </c>
      <c r="M69" s="11">
        <f t="shared" si="11"/>
        <v>7128.8044342308958</v>
      </c>
      <c r="N69" s="102">
        <f t="shared" si="4"/>
        <v>226783.56216333839</v>
      </c>
      <c r="O69" s="103">
        <f t="shared" si="5"/>
        <v>-59361.577530062204</v>
      </c>
      <c r="P69" s="103">
        <f t="shared" si="8"/>
        <v>1844265.7760532096</v>
      </c>
      <c r="Q69" s="89"/>
    </row>
    <row r="70" spans="1:17">
      <c r="A70" s="114">
        <f t="shared" si="0"/>
        <v>2034</v>
      </c>
      <c r="B70" s="114">
        <f t="shared" si="0"/>
        <v>75</v>
      </c>
      <c r="C70" s="11">
        <v>0</v>
      </c>
      <c r="D70" s="11">
        <v>0</v>
      </c>
      <c r="E70" s="11">
        <f t="shared" si="10"/>
        <v>31314.556411901878</v>
      </c>
      <c r="F70" s="11">
        <f t="shared" si="10"/>
        <v>23485.917308926411</v>
      </c>
      <c r="G70" s="103">
        <f t="shared" si="6"/>
        <v>110655.94656319257</v>
      </c>
      <c r="H70" s="11">
        <v>0</v>
      </c>
      <c r="I70" s="15">
        <f t="shared" si="2"/>
        <v>165456.42028402086</v>
      </c>
      <c r="J70" s="11">
        <f t="shared" si="3"/>
        <v>163586.57874308032</v>
      </c>
      <c r="K70" s="11">
        <f t="shared" si="7"/>
        <v>24000</v>
      </c>
      <c r="L70" s="39">
        <f t="shared" si="9"/>
        <v>36400.412462484586</v>
      </c>
      <c r="M70" s="11">
        <f t="shared" si="11"/>
        <v>7342.6685672578233</v>
      </c>
      <c r="N70" s="102">
        <f t="shared" si="4"/>
        <v>231329.65977282272</v>
      </c>
      <c r="O70" s="103">
        <f t="shared" si="5"/>
        <v>-65873.239488801861</v>
      </c>
      <c r="P70" s="103">
        <f t="shared" si="8"/>
        <v>1778392.5365644076</v>
      </c>
      <c r="Q70" s="89"/>
    </row>
    <row r="71" spans="1:17">
      <c r="A71" s="114">
        <f t="shared" si="0"/>
        <v>2035</v>
      </c>
      <c r="B71" s="114">
        <f t="shared" si="0"/>
        <v>76</v>
      </c>
      <c r="C71" s="11">
        <v>0</v>
      </c>
      <c r="D71" s="11">
        <v>0</v>
      </c>
      <c r="E71" s="11">
        <f t="shared" si="10"/>
        <v>32253.993104258934</v>
      </c>
      <c r="F71" s="11">
        <f t="shared" si="10"/>
        <v>24190.494828194205</v>
      </c>
      <c r="G71" s="103">
        <f t="shared" si="6"/>
        <v>106703.55219386445</v>
      </c>
      <c r="H71" s="11">
        <v>0</v>
      </c>
      <c r="I71" s="15">
        <f t="shared" si="2"/>
        <v>163148.04012631759</v>
      </c>
      <c r="J71" s="11">
        <f t="shared" si="3"/>
        <v>168494.17610537272</v>
      </c>
      <c r="K71" s="11">
        <f t="shared" si="7"/>
        <v>24000</v>
      </c>
      <c r="L71" s="39">
        <f t="shared" si="9"/>
        <v>35892.568827789866</v>
      </c>
      <c r="M71" s="11">
        <f t="shared" si="11"/>
        <v>7562.9486242755584</v>
      </c>
      <c r="N71" s="102">
        <f t="shared" si="4"/>
        <v>235949.69355743815</v>
      </c>
      <c r="O71" s="103">
        <f t="shared" si="5"/>
        <v>-72801.653431120561</v>
      </c>
      <c r="P71" s="103">
        <f t="shared" si="8"/>
        <v>1705590.8831332871</v>
      </c>
      <c r="Q71" s="10"/>
    </row>
    <row r="72" spans="1:17">
      <c r="A72" s="114">
        <f t="shared" ref="A72:B87" si="12">A71+1</f>
        <v>2036</v>
      </c>
      <c r="B72" s="114">
        <f t="shared" si="12"/>
        <v>77</v>
      </c>
      <c r="C72" s="11">
        <v>0</v>
      </c>
      <c r="D72" s="11">
        <v>0</v>
      </c>
      <c r="E72" s="11">
        <f t="shared" si="10"/>
        <v>33221.612897386702</v>
      </c>
      <c r="F72" s="11">
        <f t="shared" si="10"/>
        <v>24916.209673040034</v>
      </c>
      <c r="G72" s="103">
        <f t="shared" si="6"/>
        <v>102335.45298799723</v>
      </c>
      <c r="H72" s="11">
        <v>0</v>
      </c>
      <c r="I72" s="15">
        <f t="shared" si="2"/>
        <v>160473.27555842395</v>
      </c>
      <c r="J72" s="11">
        <f t="shared" si="3"/>
        <v>173549.00138853391</v>
      </c>
      <c r="K72" s="109">
        <v>0</v>
      </c>
      <c r="L72" s="39">
        <f t="shared" si="9"/>
        <v>35304.120622853268</v>
      </c>
      <c r="M72" s="39">
        <f>M71/5</f>
        <v>1512.5897248551116</v>
      </c>
      <c r="N72" s="102">
        <f t="shared" si="4"/>
        <v>210365.71173624232</v>
      </c>
      <c r="O72" s="103">
        <f t="shared" si="5"/>
        <v>-49892.436177818367</v>
      </c>
      <c r="P72" s="103">
        <f t="shared" si="8"/>
        <v>1655698.4469554687</v>
      </c>
      <c r="Q72" s="105" t="s">
        <v>178</v>
      </c>
    </row>
    <row r="73" spans="1:17">
      <c r="A73" s="114">
        <f t="shared" si="12"/>
        <v>2037</v>
      </c>
      <c r="B73" s="114">
        <f t="shared" si="12"/>
        <v>78</v>
      </c>
      <c r="C73" s="11">
        <v>0</v>
      </c>
      <c r="D73" s="11">
        <v>0</v>
      </c>
      <c r="E73" s="11">
        <f t="shared" si="10"/>
        <v>34218.261284308304</v>
      </c>
      <c r="F73" s="11">
        <f t="shared" si="10"/>
        <v>25663.695963231236</v>
      </c>
      <c r="G73" s="103">
        <f t="shared" si="6"/>
        <v>99341.906817328127</v>
      </c>
      <c r="H73" s="11">
        <v>0</v>
      </c>
      <c r="I73" s="15">
        <f t="shared" si="2"/>
        <v>159223.86406486767</v>
      </c>
      <c r="J73" s="11">
        <f t="shared" si="3"/>
        <v>178755.47143018994</v>
      </c>
      <c r="K73" s="11">
        <f t="shared" si="7"/>
        <v>0</v>
      </c>
      <c r="L73" s="39">
        <f t="shared" si="9"/>
        <v>35029.250094270887</v>
      </c>
      <c r="M73" s="11">
        <f t="shared" si="11"/>
        <v>1557.9674166007651</v>
      </c>
      <c r="N73" s="102">
        <f t="shared" si="4"/>
        <v>215342.68894106158</v>
      </c>
      <c r="O73" s="103">
        <f t="shared" si="5"/>
        <v>-56118.824876193918</v>
      </c>
      <c r="P73" s="103">
        <f t="shared" si="8"/>
        <v>1599579.6220792748</v>
      </c>
      <c r="Q73" s="10"/>
    </row>
    <row r="74" spans="1:17">
      <c r="A74" s="114">
        <f t="shared" si="12"/>
        <v>2038</v>
      </c>
      <c r="B74" s="114">
        <f t="shared" si="12"/>
        <v>79</v>
      </c>
      <c r="C74" s="11">
        <v>0</v>
      </c>
      <c r="D74" s="11">
        <v>0</v>
      </c>
      <c r="E74" s="11">
        <f t="shared" si="10"/>
        <v>35244.809122837556</v>
      </c>
      <c r="F74" s="11">
        <f t="shared" si="10"/>
        <v>26433.606842128174</v>
      </c>
      <c r="G74" s="103">
        <f t="shared" si="6"/>
        <v>95974.777324756491</v>
      </c>
      <c r="H74" s="11">
        <v>0</v>
      </c>
      <c r="I74" s="15">
        <f t="shared" si="2"/>
        <v>157653.19328972223</v>
      </c>
      <c r="J74" s="11">
        <f t="shared" si="3"/>
        <v>184118.13557309564</v>
      </c>
      <c r="K74" s="11">
        <f t="shared" si="7"/>
        <v>0</v>
      </c>
      <c r="L74" s="39">
        <f t="shared" si="9"/>
        <v>34683.702523738888</v>
      </c>
      <c r="M74" s="11">
        <f t="shared" si="11"/>
        <v>1604.706439098788</v>
      </c>
      <c r="N74" s="102">
        <f t="shared" si="4"/>
        <v>220406.54453593332</v>
      </c>
      <c r="O74" s="103">
        <f t="shared" si="5"/>
        <v>-62753.351246211096</v>
      </c>
      <c r="P74" s="103">
        <f t="shared" si="8"/>
        <v>1536826.2708330639</v>
      </c>
      <c r="Q74" s="10"/>
    </row>
    <row r="75" spans="1:17">
      <c r="A75" s="114">
        <f t="shared" si="12"/>
        <v>2039</v>
      </c>
      <c r="B75" s="114">
        <f t="shared" si="12"/>
        <v>80</v>
      </c>
      <c r="C75" s="11">
        <v>0</v>
      </c>
      <c r="D75" s="11">
        <v>0</v>
      </c>
      <c r="E75" s="11">
        <f t="shared" si="10"/>
        <v>36302.153396522684</v>
      </c>
      <c r="F75" s="11">
        <f t="shared" si="10"/>
        <v>27226.615047392021</v>
      </c>
      <c r="G75" s="103">
        <f t="shared" si="6"/>
        <v>92209.576249983831</v>
      </c>
      <c r="H75" s="11">
        <v>0</v>
      </c>
      <c r="I75" s="15">
        <f t="shared" si="2"/>
        <v>155738.34469389854</v>
      </c>
      <c r="J75" s="11">
        <f t="shared" si="3"/>
        <v>189641.67964028852</v>
      </c>
      <c r="K75" s="11">
        <f t="shared" si="7"/>
        <v>0</v>
      </c>
      <c r="L75" s="39">
        <f t="shared" si="9"/>
        <v>34262.435832657677</v>
      </c>
      <c r="M75" s="11">
        <f t="shared" si="11"/>
        <v>1652.8476322717518</v>
      </c>
      <c r="N75" s="102">
        <f t="shared" si="4"/>
        <v>225556.96310521796</v>
      </c>
      <c r="O75" s="103">
        <f t="shared" si="5"/>
        <v>-69818.618411319418</v>
      </c>
      <c r="P75" s="103">
        <f t="shared" si="8"/>
        <v>1467007.6524217445</v>
      </c>
      <c r="Q75" s="10"/>
    </row>
    <row r="76" spans="1:17">
      <c r="A76" s="114">
        <f t="shared" si="12"/>
        <v>2040</v>
      </c>
      <c r="B76" s="114">
        <f t="shared" si="12"/>
        <v>81</v>
      </c>
      <c r="C76" s="11">
        <v>0</v>
      </c>
      <c r="D76" s="11">
        <v>0</v>
      </c>
      <c r="E76" s="11">
        <f t="shared" si="10"/>
        <v>37391.217998418368</v>
      </c>
      <c r="F76" s="11">
        <f t="shared" si="10"/>
        <v>28043.413498813781</v>
      </c>
      <c r="G76" s="103">
        <f t="shared" si="6"/>
        <v>88020.459145304674</v>
      </c>
      <c r="H76" s="11">
        <v>0</v>
      </c>
      <c r="I76" s="15">
        <f t="shared" si="2"/>
        <v>153455.09064253682</v>
      </c>
      <c r="J76" s="11">
        <f t="shared" si="3"/>
        <v>195330.93002949719</v>
      </c>
      <c r="K76" s="11">
        <f t="shared" si="7"/>
        <v>0</v>
      </c>
      <c r="L76" s="39">
        <f t="shared" si="9"/>
        <v>33760.119941358098</v>
      </c>
      <c r="M76" s="11">
        <f t="shared" si="11"/>
        <v>1702.4330612399044</v>
      </c>
      <c r="N76" s="102">
        <f t="shared" si="4"/>
        <v>230793.48303209519</v>
      </c>
      <c r="O76" s="103">
        <f t="shared" si="5"/>
        <v>-77338.392389558372</v>
      </c>
      <c r="P76" s="103">
        <f t="shared" si="8"/>
        <v>1389669.2600321863</v>
      </c>
      <c r="Q76" s="105"/>
    </row>
    <row r="77" spans="1:17">
      <c r="A77" s="114">
        <f t="shared" si="12"/>
        <v>2041</v>
      </c>
      <c r="B77" s="114">
        <f t="shared" si="12"/>
        <v>82</v>
      </c>
      <c r="C77" s="11">
        <v>0</v>
      </c>
      <c r="D77" s="11">
        <v>0</v>
      </c>
      <c r="E77" s="11">
        <f t="shared" si="10"/>
        <v>38512.954538370919</v>
      </c>
      <c r="F77" s="11">
        <f t="shared" si="10"/>
        <v>28884.715903778197</v>
      </c>
      <c r="G77" s="103">
        <f t="shared" si="6"/>
        <v>83380.155601931168</v>
      </c>
      <c r="H77" s="11">
        <v>0</v>
      </c>
      <c r="I77" s="15">
        <f t="shared" si="2"/>
        <v>150777.82604408028</v>
      </c>
      <c r="J77" s="11">
        <f t="shared" si="3"/>
        <v>201190.8579303821</v>
      </c>
      <c r="K77" s="11">
        <v>0</v>
      </c>
      <c r="L77" s="39">
        <f t="shared" si="9"/>
        <v>33171.121729697661</v>
      </c>
      <c r="M77" s="11">
        <f t="shared" si="11"/>
        <v>1753.5060530771016</v>
      </c>
      <c r="N77" s="102">
        <f t="shared" si="4"/>
        <v>236115.48571315687</v>
      </c>
      <c r="O77" s="103">
        <f t="shared" si="5"/>
        <v>-85337.659669076587</v>
      </c>
      <c r="P77" s="103">
        <f t="shared" si="8"/>
        <v>1304331.6003631097</v>
      </c>
      <c r="Q77" s="10"/>
    </row>
    <row r="78" spans="1:17">
      <c r="A78" s="114">
        <f t="shared" si="12"/>
        <v>2042</v>
      </c>
      <c r="B78" s="114">
        <f t="shared" si="12"/>
        <v>83</v>
      </c>
      <c r="C78" s="11">
        <v>0</v>
      </c>
      <c r="D78" s="11">
        <v>0</v>
      </c>
      <c r="E78" s="11">
        <f t="shared" si="10"/>
        <v>39668.343174522051</v>
      </c>
      <c r="F78" s="11">
        <f t="shared" si="10"/>
        <v>29751.257380891544</v>
      </c>
      <c r="G78" s="103">
        <f t="shared" si="6"/>
        <v>78259.896021786582</v>
      </c>
      <c r="H78" s="11">
        <v>0</v>
      </c>
      <c r="I78" s="15">
        <f t="shared" si="2"/>
        <v>147679.49657720019</v>
      </c>
      <c r="J78" s="11">
        <f t="shared" si="3"/>
        <v>207226.58366829358</v>
      </c>
      <c r="K78" s="11">
        <v>0</v>
      </c>
      <c r="L78" s="39">
        <f t="shared" si="9"/>
        <v>32489.489246984042</v>
      </c>
      <c r="M78" s="11">
        <f t="shared" si="11"/>
        <v>1806.1112346694147</v>
      </c>
      <c r="N78" s="102">
        <f t="shared" si="4"/>
        <v>241522.18414994705</v>
      </c>
      <c r="O78" s="103">
        <f t="shared" si="5"/>
        <v>-93842.687572746858</v>
      </c>
      <c r="P78" s="103">
        <f t="shared" si="8"/>
        <v>1210488.912790363</v>
      </c>
      <c r="Q78" s="10"/>
    </row>
    <row r="79" spans="1:17">
      <c r="A79" s="114">
        <f t="shared" si="12"/>
        <v>2043</v>
      </c>
      <c r="B79" s="114">
        <f t="shared" si="12"/>
        <v>84</v>
      </c>
      <c r="C79" s="11">
        <v>0</v>
      </c>
      <c r="D79" s="11">
        <v>0</v>
      </c>
      <c r="E79" s="11">
        <f t="shared" si="10"/>
        <v>40858.393469757713</v>
      </c>
      <c r="F79" s="11">
        <f t="shared" si="10"/>
        <v>30643.79510231829</v>
      </c>
      <c r="G79" s="103">
        <f t="shared" si="6"/>
        <v>72629.33476742178</v>
      </c>
      <c r="H79" s="11">
        <v>0</v>
      </c>
      <c r="I79" s="15">
        <f t="shared" si="2"/>
        <v>144131.5233394978</v>
      </c>
      <c r="J79" s="11">
        <f t="shared" si="3"/>
        <v>213443.38117834239</v>
      </c>
      <c r="K79" s="11">
        <v>0</v>
      </c>
      <c r="L79" s="39">
        <f t="shared" si="9"/>
        <v>31708.935134689516</v>
      </c>
      <c r="M79" s="11">
        <f t="shared" si="11"/>
        <v>1860.2945717094972</v>
      </c>
      <c r="N79" s="102">
        <f t="shared" si="4"/>
        <v>247012.61088474141</v>
      </c>
      <c r="O79" s="103">
        <f t="shared" si="5"/>
        <v>-102881.08754524362</v>
      </c>
      <c r="P79" s="103">
        <f t="shared" si="8"/>
        <v>1107607.8252451194</v>
      </c>
      <c r="Q79" s="10"/>
    </row>
    <row r="80" spans="1:17">
      <c r="A80" s="114">
        <f t="shared" si="12"/>
        <v>2044</v>
      </c>
      <c r="B80" s="114">
        <f t="shared" si="12"/>
        <v>85</v>
      </c>
      <c r="C80" s="11">
        <v>0</v>
      </c>
      <c r="D80" s="11">
        <v>0</v>
      </c>
      <c r="E80" s="11">
        <f t="shared" si="10"/>
        <v>42084.145273850445</v>
      </c>
      <c r="F80" s="11">
        <f t="shared" si="10"/>
        <v>31563.108955387841</v>
      </c>
      <c r="G80" s="103">
        <f t="shared" si="6"/>
        <v>66456.469514707162</v>
      </c>
      <c r="H80" s="11">
        <v>0</v>
      </c>
      <c r="I80" s="15">
        <f t="shared" si="2"/>
        <v>140103.72374394545</v>
      </c>
      <c r="J80" s="11">
        <f t="shared" si="3"/>
        <v>219846.68261369265</v>
      </c>
      <c r="K80" s="11">
        <v>0</v>
      </c>
      <c r="L80" s="39">
        <f t="shared" si="9"/>
        <v>30822.819223667997</v>
      </c>
      <c r="M80" s="11">
        <f t="shared" si="11"/>
        <v>1916.1034088607821</v>
      </c>
      <c r="N80" s="102">
        <f t="shared" si="4"/>
        <v>252585.60524622141</v>
      </c>
      <c r="O80" s="103">
        <f t="shared" si="5"/>
        <v>-112481.88150227597</v>
      </c>
      <c r="P80" s="103">
        <f t="shared" si="8"/>
        <v>995125.94374284346</v>
      </c>
      <c r="Q80" s="10"/>
    </row>
    <row r="81" spans="1:17">
      <c r="A81" s="114">
        <f t="shared" si="12"/>
        <v>2045</v>
      </c>
      <c r="B81" s="114">
        <f t="shared" si="12"/>
        <v>86</v>
      </c>
      <c r="C81" s="11">
        <v>0</v>
      </c>
      <c r="D81" s="11">
        <v>0</v>
      </c>
      <c r="E81" s="11">
        <f t="shared" si="10"/>
        <v>43346.669632065961</v>
      </c>
      <c r="F81" s="11">
        <f t="shared" si="10"/>
        <v>32510.002224049476</v>
      </c>
      <c r="G81" s="103">
        <f t="shared" si="6"/>
        <v>59707.556624570607</v>
      </c>
      <c r="H81" s="11">
        <v>0</v>
      </c>
      <c r="I81" s="15">
        <f t="shared" si="2"/>
        <v>135564.22848068606</v>
      </c>
      <c r="J81" s="11">
        <f t="shared" si="3"/>
        <v>226442.08309210345</v>
      </c>
      <c r="K81" s="11">
        <v>0</v>
      </c>
      <c r="L81" s="39">
        <f t="shared" si="9"/>
        <v>29824.130265750933</v>
      </c>
      <c r="M81" s="11">
        <f t="shared" si="11"/>
        <v>1973.5865111266057</v>
      </c>
      <c r="N81" s="102">
        <f t="shared" si="4"/>
        <v>258239.79986898098</v>
      </c>
      <c r="O81" s="103">
        <f t="shared" si="5"/>
        <v>-122675.57138829492</v>
      </c>
      <c r="P81" s="103">
        <f t="shared" si="8"/>
        <v>872450.37235454854</v>
      </c>
      <c r="Q81" s="10"/>
    </row>
    <row r="82" spans="1:17">
      <c r="A82" s="114">
        <f t="shared" si="12"/>
        <v>2046</v>
      </c>
      <c r="B82" s="114">
        <f t="shared" si="12"/>
        <v>87</v>
      </c>
      <c r="C82" s="11">
        <v>0</v>
      </c>
      <c r="D82" s="11">
        <v>0</v>
      </c>
      <c r="E82" s="11">
        <f t="shared" si="10"/>
        <v>44647.06972102794</v>
      </c>
      <c r="F82" s="11">
        <f t="shared" si="10"/>
        <v>33485.30229077096</v>
      </c>
      <c r="G82" s="103">
        <f t="shared" si="6"/>
        <v>52347.02234127291</v>
      </c>
      <c r="H82" s="11">
        <v>0</v>
      </c>
      <c r="I82" s="15">
        <f t="shared" si="2"/>
        <v>130479.39435307181</v>
      </c>
      <c r="J82" s="11">
        <f t="shared" si="3"/>
        <v>233235.34558486656</v>
      </c>
      <c r="K82" s="11">
        <v>0</v>
      </c>
      <c r="L82" s="39">
        <f t="shared" si="9"/>
        <v>28705.466757675797</v>
      </c>
      <c r="M82" s="11">
        <f t="shared" si="11"/>
        <v>2032.794106460404</v>
      </c>
      <c r="N82" s="102">
        <f t="shared" si="4"/>
        <v>263973.60644900275</v>
      </c>
      <c r="O82" s="103">
        <f t="shared" si="5"/>
        <v>-133494.21209593094</v>
      </c>
      <c r="P82" s="103">
        <f t="shared" si="8"/>
        <v>738956.1602586176</v>
      </c>
      <c r="Q82" s="10"/>
    </row>
    <row r="83" spans="1:17">
      <c r="A83" s="114">
        <f t="shared" si="12"/>
        <v>2047</v>
      </c>
      <c r="B83" s="114">
        <f t="shared" si="12"/>
        <v>88</v>
      </c>
      <c r="C83" s="11">
        <v>0</v>
      </c>
      <c r="D83" s="11">
        <v>0</v>
      </c>
      <c r="E83" s="11">
        <f t="shared" si="10"/>
        <v>45986.481812658778</v>
      </c>
      <c r="F83" s="11">
        <f t="shared" si="10"/>
        <v>34489.861359494091</v>
      </c>
      <c r="G83" s="103">
        <f t="shared" si="6"/>
        <v>44337.369615517055</v>
      </c>
      <c r="H83" s="11">
        <v>0</v>
      </c>
      <c r="I83" s="15">
        <f t="shared" si="2"/>
        <v>124813.71278766994</v>
      </c>
      <c r="J83" s="11">
        <f t="shared" si="3"/>
        <v>240232.40595241258</v>
      </c>
      <c r="K83" s="11">
        <v>0</v>
      </c>
      <c r="L83" s="39">
        <f t="shared" si="9"/>
        <v>27459.016813287388</v>
      </c>
      <c r="M83" s="11">
        <f t="shared" si="11"/>
        <v>2093.7779296542162</v>
      </c>
      <c r="N83" s="102">
        <f t="shared" si="4"/>
        <v>269785.2006953542</v>
      </c>
      <c r="O83" s="103">
        <f t="shared" si="5"/>
        <v>-144971.48790768426</v>
      </c>
      <c r="P83" s="103">
        <f t="shared" si="8"/>
        <v>593984.67235093331</v>
      </c>
      <c r="Q83" s="10"/>
    </row>
    <row r="84" spans="1:17">
      <c r="A84" s="114">
        <f t="shared" si="12"/>
        <v>2048</v>
      </c>
      <c r="B84" s="114">
        <f t="shared" si="12"/>
        <v>89</v>
      </c>
      <c r="C84" s="11">
        <v>0</v>
      </c>
      <c r="D84" s="11">
        <v>0</v>
      </c>
      <c r="E84" s="11">
        <f t="shared" si="10"/>
        <v>47366.076267038545</v>
      </c>
      <c r="F84" s="11">
        <f t="shared" si="10"/>
        <v>35524.557200278912</v>
      </c>
      <c r="G84" s="103">
        <f t="shared" si="6"/>
        <v>35639.080341055997</v>
      </c>
      <c r="H84" s="11">
        <v>0</v>
      </c>
      <c r="I84" s="15">
        <f t="shared" si="2"/>
        <v>118529.71380837346</v>
      </c>
      <c r="J84" s="11">
        <f t="shared" si="3"/>
        <v>247439.37813098496</v>
      </c>
      <c r="K84" s="11">
        <v>0</v>
      </c>
      <c r="L84" s="39">
        <f t="shared" si="9"/>
        <v>26076.537037842161</v>
      </c>
      <c r="M84" s="11">
        <f t="shared" si="11"/>
        <v>2156.5912675438426</v>
      </c>
      <c r="N84" s="102">
        <f t="shared" si="4"/>
        <v>275672.50643637095</v>
      </c>
      <c r="O84" s="103">
        <f t="shared" si="5"/>
        <v>-157142.79262799749</v>
      </c>
      <c r="P84" s="103">
        <f t="shared" si="8"/>
        <v>436841.87972293585</v>
      </c>
      <c r="Q84" s="10"/>
    </row>
    <row r="85" spans="1:17">
      <c r="A85" s="114">
        <f t="shared" si="12"/>
        <v>2049</v>
      </c>
      <c r="B85" s="114">
        <f t="shared" si="12"/>
        <v>90</v>
      </c>
      <c r="C85" s="11">
        <v>0</v>
      </c>
      <c r="D85" s="11">
        <v>0</v>
      </c>
      <c r="E85" s="11">
        <f t="shared" si="10"/>
        <v>48787.058555049705</v>
      </c>
      <c r="F85" s="11">
        <f t="shared" si="10"/>
        <v>36590.293916287279</v>
      </c>
      <c r="G85" s="103">
        <f t="shared" si="6"/>
        <v>26210.512783376151</v>
      </c>
      <c r="H85" s="11">
        <v>0</v>
      </c>
      <c r="I85" s="15">
        <f t="shared" si="2"/>
        <v>111587.86525471314</v>
      </c>
      <c r="J85" s="11">
        <f t="shared" si="3"/>
        <v>254862.55947491451</v>
      </c>
      <c r="K85" s="11">
        <v>0</v>
      </c>
      <c r="L85" s="39">
        <f t="shared" si="9"/>
        <v>24549.330356036891</v>
      </c>
      <c r="M85" s="11">
        <f t="shared" si="11"/>
        <v>2221.2890055701578</v>
      </c>
      <c r="N85" s="102">
        <f t="shared" si="4"/>
        <v>281633.17883652158</v>
      </c>
      <c r="O85" s="103">
        <f t="shared" si="5"/>
        <v>-170045.31358180844</v>
      </c>
      <c r="P85" s="103">
        <f t="shared" si="8"/>
        <v>266796.56614112738</v>
      </c>
      <c r="Q85" s="105"/>
    </row>
    <row r="86" spans="1:17">
      <c r="A86" s="114">
        <f t="shared" si="12"/>
        <v>2050</v>
      </c>
      <c r="B86" s="114">
        <f t="shared" si="12"/>
        <v>91</v>
      </c>
      <c r="C86" s="11">
        <v>0</v>
      </c>
      <c r="D86" s="11">
        <v>0</v>
      </c>
      <c r="E86" s="11">
        <f t="shared" si="10"/>
        <v>50250.6703117012</v>
      </c>
      <c r="F86" s="11">
        <f t="shared" si="10"/>
        <v>37688.002733775895</v>
      </c>
      <c r="G86" s="103">
        <f t="shared" si="6"/>
        <v>16007.793968467642</v>
      </c>
      <c r="H86" s="11">
        <v>0</v>
      </c>
      <c r="I86" s="15">
        <f t="shared" si="2"/>
        <v>103946.46701394474</v>
      </c>
      <c r="J86" s="11">
        <f t="shared" si="3"/>
        <v>262508.43625916197</v>
      </c>
      <c r="K86" s="11">
        <v>0</v>
      </c>
      <c r="L86" s="39">
        <f t="shared" si="9"/>
        <v>22868.222743067843</v>
      </c>
      <c r="M86" s="106">
        <v>50000</v>
      </c>
      <c r="N86" s="102">
        <f t="shared" si="4"/>
        <v>335376.6590022298</v>
      </c>
      <c r="O86" s="103">
        <f t="shared" si="5"/>
        <v>-231430.19198828505</v>
      </c>
      <c r="P86" s="103">
        <f t="shared" si="8"/>
        <v>35366.374152842327</v>
      </c>
      <c r="Q86" s="88" t="s">
        <v>30</v>
      </c>
    </row>
    <row r="87" spans="1:17">
      <c r="A87" s="114">
        <f t="shared" si="12"/>
        <v>2051</v>
      </c>
      <c r="B87" s="114">
        <f t="shared" si="12"/>
        <v>92</v>
      </c>
      <c r="C87" s="11">
        <v>0</v>
      </c>
      <c r="D87" s="11">
        <v>0</v>
      </c>
      <c r="E87" s="11">
        <f t="shared" si="10"/>
        <v>51758.190421052241</v>
      </c>
      <c r="F87" s="11">
        <f t="shared" si="10"/>
        <v>38818.642815789171</v>
      </c>
      <c r="G87" s="103">
        <f t="shared" si="6"/>
        <v>2121.9824491705394</v>
      </c>
      <c r="H87" s="11">
        <v>0</v>
      </c>
      <c r="I87" s="15">
        <f t="shared" si="2"/>
        <v>92698.815686011949</v>
      </c>
      <c r="J87" s="11">
        <f t="shared" si="3"/>
        <v>270383.68934693682</v>
      </c>
      <c r="K87" s="11">
        <v>0</v>
      </c>
      <c r="L87" s="39">
        <f t="shared" si="9"/>
        <v>20393.739450922629</v>
      </c>
      <c r="M87" s="11">
        <f t="shared" si="11"/>
        <v>51500</v>
      </c>
      <c r="N87" s="102">
        <f t="shared" si="4"/>
        <v>342277.42879785947</v>
      </c>
      <c r="O87" s="103">
        <f t="shared" si="5"/>
        <v>-249578.61311184752</v>
      </c>
      <c r="P87" s="103">
        <f t="shared" si="8"/>
        <v>-214212.23895900519</v>
      </c>
      <c r="Q87" s="10"/>
    </row>
    <row r="88" spans="1:17">
      <c r="A88" s="114">
        <f t="shared" ref="A88:B95" si="13">A87+1</f>
        <v>2052</v>
      </c>
      <c r="B88" s="114">
        <f t="shared" si="13"/>
        <v>93</v>
      </c>
      <c r="C88" s="11">
        <v>0</v>
      </c>
      <c r="D88" s="11">
        <v>0</v>
      </c>
      <c r="E88" s="11">
        <f t="shared" si="10"/>
        <v>53310.936133683812</v>
      </c>
      <c r="F88" s="11">
        <f t="shared" si="10"/>
        <v>39983.202100262846</v>
      </c>
      <c r="G88" s="103">
        <f t="shared" si="6"/>
        <v>0</v>
      </c>
      <c r="H88" s="11">
        <v>0</v>
      </c>
      <c r="I88" s="15">
        <f t="shared" si="2"/>
        <v>93294.138233946665</v>
      </c>
      <c r="J88" s="11">
        <f t="shared" si="3"/>
        <v>278495.20002734492</v>
      </c>
      <c r="K88" s="11">
        <v>0</v>
      </c>
      <c r="L88" s="39">
        <f t="shared" si="9"/>
        <v>20524.710411468266</v>
      </c>
      <c r="M88" s="11">
        <f t="shared" si="11"/>
        <v>53045</v>
      </c>
      <c r="N88" s="102">
        <f t="shared" si="4"/>
        <v>352064.91043881321</v>
      </c>
      <c r="O88" s="103">
        <f t="shared" si="5"/>
        <v>-258770.77220486655</v>
      </c>
      <c r="P88" s="103">
        <f t="shared" si="8"/>
        <v>-472983.01116387174</v>
      </c>
      <c r="Q88" s="10"/>
    </row>
    <row r="89" spans="1:17">
      <c r="A89" s="114">
        <f t="shared" si="13"/>
        <v>2053</v>
      </c>
      <c r="B89" s="114">
        <f t="shared" si="13"/>
        <v>94</v>
      </c>
      <c r="C89" s="11">
        <v>0</v>
      </c>
      <c r="D89" s="11">
        <v>0</v>
      </c>
      <c r="E89" s="11">
        <f t="shared" si="10"/>
        <v>54910.264217694326</v>
      </c>
      <c r="F89" s="11">
        <f t="shared" si="10"/>
        <v>41182.698163270732</v>
      </c>
      <c r="G89" s="103">
        <f t="shared" si="6"/>
        <v>0</v>
      </c>
      <c r="H89" s="11">
        <v>0</v>
      </c>
      <c r="I89" s="15">
        <f t="shared" si="2"/>
        <v>96092.962380965066</v>
      </c>
      <c r="J89" s="11">
        <f t="shared" si="3"/>
        <v>286850.05602816527</v>
      </c>
      <c r="K89" s="11">
        <v>0</v>
      </c>
      <c r="L89" s="39">
        <f t="shared" si="9"/>
        <v>21140.451723812315</v>
      </c>
      <c r="M89" s="11">
        <f t="shared" si="11"/>
        <v>54636.35</v>
      </c>
      <c r="N89" s="102">
        <f t="shared" si="4"/>
        <v>362626.85775197757</v>
      </c>
      <c r="O89" s="103">
        <f t="shared" si="5"/>
        <v>-266533.89537101251</v>
      </c>
      <c r="P89" s="103">
        <f t="shared" si="8"/>
        <v>-739516.90653488424</v>
      </c>
      <c r="Q89" s="10"/>
    </row>
    <row r="90" spans="1:17">
      <c r="A90" s="114">
        <f t="shared" si="13"/>
        <v>2054</v>
      </c>
      <c r="B90" s="114">
        <f t="shared" si="13"/>
        <v>95</v>
      </c>
      <c r="C90" s="11">
        <v>0</v>
      </c>
      <c r="D90" s="11">
        <v>0</v>
      </c>
      <c r="E90" s="11">
        <f t="shared" si="10"/>
        <v>56557.57214422516</v>
      </c>
      <c r="F90" s="11">
        <f t="shared" si="10"/>
        <v>42418.179108168857</v>
      </c>
      <c r="G90" s="103">
        <f t="shared" si="6"/>
        <v>0</v>
      </c>
      <c r="H90" s="11">
        <v>0</v>
      </c>
      <c r="I90" s="15">
        <f t="shared" si="2"/>
        <v>98975.751252394024</v>
      </c>
      <c r="J90" s="11">
        <f t="shared" si="3"/>
        <v>295455.55770901026</v>
      </c>
      <c r="K90" s="11">
        <v>0</v>
      </c>
      <c r="L90" s="39">
        <f t="shared" si="9"/>
        <v>21774.665275526684</v>
      </c>
      <c r="M90" s="11">
        <f t="shared" si="11"/>
        <v>56275.440499999997</v>
      </c>
      <c r="N90" s="102">
        <f t="shared" si="4"/>
        <v>373505.66348453693</v>
      </c>
      <c r="O90" s="103">
        <f t="shared" si="5"/>
        <v>-274529.91223214287</v>
      </c>
      <c r="P90" s="103">
        <f t="shared" si="8"/>
        <v>-1014046.8187670271</v>
      </c>
      <c r="Q90" s="10"/>
    </row>
    <row r="91" spans="1:17">
      <c r="A91" s="114">
        <f t="shared" si="13"/>
        <v>2055</v>
      </c>
      <c r="B91" s="114">
        <f t="shared" si="13"/>
        <v>96</v>
      </c>
      <c r="C91" s="11">
        <v>0</v>
      </c>
      <c r="D91" s="11">
        <v>0</v>
      </c>
      <c r="E91" s="11">
        <f t="shared" si="10"/>
        <v>58254.299308551919</v>
      </c>
      <c r="F91" s="11">
        <f t="shared" si="10"/>
        <v>43690.724481413927</v>
      </c>
      <c r="G91" s="103">
        <f t="shared" si="6"/>
        <v>0</v>
      </c>
      <c r="H91" s="11">
        <v>0</v>
      </c>
      <c r="I91" s="15">
        <f t="shared" si="2"/>
        <v>101945.02378996584</v>
      </c>
      <c r="J91" s="11">
        <f t="shared" si="3"/>
        <v>304319.22444028058</v>
      </c>
      <c r="K91" s="11">
        <v>0</v>
      </c>
      <c r="L91" s="39">
        <f t="shared" si="9"/>
        <v>22427.905233792484</v>
      </c>
      <c r="M91" s="11">
        <f t="shared" si="11"/>
        <v>57963.703714999996</v>
      </c>
      <c r="N91" s="102">
        <f t="shared" si="4"/>
        <v>384710.83338907309</v>
      </c>
      <c r="O91" s="103">
        <f t="shared" si="5"/>
        <v>-282765.80959910725</v>
      </c>
      <c r="P91" s="103">
        <f t="shared" si="8"/>
        <v>-1296812.6283661344</v>
      </c>
      <c r="Q91" s="89"/>
    </row>
    <row r="92" spans="1:17">
      <c r="A92" s="114">
        <f t="shared" si="13"/>
        <v>2056</v>
      </c>
      <c r="B92" s="114">
        <f t="shared" si="13"/>
        <v>97</v>
      </c>
      <c r="C92" s="11">
        <v>0</v>
      </c>
      <c r="D92" s="11">
        <v>0</v>
      </c>
      <c r="E92" s="11">
        <f t="shared" si="10"/>
        <v>60001.928287808478</v>
      </c>
      <c r="F92" s="11">
        <f t="shared" si="10"/>
        <v>45001.446215856347</v>
      </c>
      <c r="G92" s="103">
        <f>IF(P91&gt;0,P91*G$52,0)</f>
        <v>0</v>
      </c>
      <c r="H92" s="11">
        <v>0</v>
      </c>
      <c r="I92" s="15">
        <f t="shared" si="2"/>
        <v>105003.37450366482</v>
      </c>
      <c r="J92" s="11">
        <f t="shared" si="3"/>
        <v>313448.80117348902</v>
      </c>
      <c r="K92" s="11">
        <v>0</v>
      </c>
      <c r="L92" s="39">
        <f t="shared" si="9"/>
        <v>23100.742390806259</v>
      </c>
      <c r="M92" s="11">
        <f t="shared" si="11"/>
        <v>59702.614826450001</v>
      </c>
      <c r="N92" s="102">
        <f>SUM(J92:M92)</f>
        <v>396252.15839074529</v>
      </c>
      <c r="O92" s="103">
        <f>I92-N92</f>
        <v>-291248.7838870805</v>
      </c>
      <c r="P92" s="103">
        <f>P91+O92</f>
        <v>-1588061.412253215</v>
      </c>
      <c r="Q92" s="89"/>
    </row>
    <row r="93" spans="1:17">
      <c r="A93" s="114">
        <f t="shared" si="13"/>
        <v>2057</v>
      </c>
      <c r="B93" s="114">
        <f t="shared" si="13"/>
        <v>98</v>
      </c>
      <c r="C93" s="11">
        <v>0</v>
      </c>
      <c r="D93" s="11">
        <v>0</v>
      </c>
      <c r="E93" s="11">
        <f t="shared" si="10"/>
        <v>61801.986136442734</v>
      </c>
      <c r="F93" s="11">
        <f t="shared" si="10"/>
        <v>46351.48960233204</v>
      </c>
      <c r="G93" s="103">
        <f>IF(P92&gt;0,P92*G$52,0)</f>
        <v>0</v>
      </c>
      <c r="H93" s="11">
        <v>0</v>
      </c>
      <c r="I93" s="15">
        <f t="shared" si="2"/>
        <v>108153.47573877478</v>
      </c>
      <c r="J93" s="11">
        <f t="shared" si="3"/>
        <v>322852.26520869369</v>
      </c>
      <c r="K93" s="11">
        <v>0</v>
      </c>
      <c r="L93" s="39">
        <f t="shared" si="9"/>
        <v>23793.764662530451</v>
      </c>
      <c r="M93" s="11">
        <f t="shared" si="11"/>
        <v>61493.693271243501</v>
      </c>
      <c r="N93" s="102">
        <f>SUM(J93:M93)</f>
        <v>408139.72314246761</v>
      </c>
      <c r="O93" s="103">
        <f>I93-N93</f>
        <v>-299986.2474036928</v>
      </c>
      <c r="P93" s="103">
        <f>P92+O93</f>
        <v>-1888047.6596569079</v>
      </c>
      <c r="Q93" s="89"/>
    </row>
    <row r="94" spans="1:17">
      <c r="A94" s="114">
        <f t="shared" si="13"/>
        <v>2058</v>
      </c>
      <c r="B94" s="114">
        <f t="shared" si="13"/>
        <v>99</v>
      </c>
      <c r="C94" s="11">
        <v>0</v>
      </c>
      <c r="D94" s="11">
        <v>0</v>
      </c>
      <c r="E94" s="11">
        <f t="shared" si="10"/>
        <v>63656.045720536014</v>
      </c>
      <c r="F94" s="11">
        <f t="shared" si="10"/>
        <v>47742.034290402</v>
      </c>
      <c r="G94" s="103">
        <f>IF(P93&gt;0,P93*G$52,0)</f>
        <v>0</v>
      </c>
      <c r="H94" s="11">
        <v>0</v>
      </c>
      <c r="I94" s="15">
        <f t="shared" si="2"/>
        <v>111398.08001093802</v>
      </c>
      <c r="J94" s="11">
        <f t="shared" si="3"/>
        <v>332537.8331649545</v>
      </c>
      <c r="K94" s="11">
        <v>0</v>
      </c>
      <c r="L94" s="39">
        <f t="shared" si="9"/>
        <v>24507.577602406363</v>
      </c>
      <c r="M94" s="11">
        <f t="shared" si="11"/>
        <v>63338.504069380804</v>
      </c>
      <c r="N94" s="102">
        <f>SUM(J94:M94)</f>
        <v>420383.91483674169</v>
      </c>
      <c r="O94" s="103">
        <f>I94-N94</f>
        <v>-308985.83482580364</v>
      </c>
      <c r="P94" s="103">
        <f>P93+O94</f>
        <v>-2197033.4944827114</v>
      </c>
      <c r="Q94" s="89"/>
    </row>
    <row r="95" spans="1:17">
      <c r="A95" s="114">
        <f t="shared" si="13"/>
        <v>2059</v>
      </c>
      <c r="B95" s="114">
        <f t="shared" si="13"/>
        <v>100</v>
      </c>
      <c r="C95" s="11">
        <v>0</v>
      </c>
      <c r="D95" s="11">
        <v>0</v>
      </c>
      <c r="E95" s="11">
        <f t="shared" si="10"/>
        <v>65565.727092152098</v>
      </c>
      <c r="F95" s="11">
        <f t="shared" si="10"/>
        <v>49174.295319114062</v>
      </c>
      <c r="G95" s="103">
        <f>IF(P94&gt;0,P94*G$52,0)</f>
        <v>0</v>
      </c>
      <c r="H95" s="11">
        <v>0</v>
      </c>
      <c r="I95" s="15">
        <f>SUM(C95:H95)</f>
        <v>114740.02241126617</v>
      </c>
      <c r="J95" s="11">
        <f t="shared" si="3"/>
        <v>342513.96815990313</v>
      </c>
      <c r="K95" s="11">
        <v>0</v>
      </c>
      <c r="L95" s="39">
        <f>I95*L$52</f>
        <v>25242.804930478556</v>
      </c>
      <c r="M95" s="11">
        <f t="shared" si="11"/>
        <v>65238.659191462233</v>
      </c>
      <c r="N95" s="102">
        <f>SUM(J95:M95)</f>
        <v>432995.43228184391</v>
      </c>
      <c r="O95" s="103">
        <f>I95-N95</f>
        <v>-318255.40987057774</v>
      </c>
      <c r="P95" s="103">
        <f>P94+O95</f>
        <v>-2515288.9043532889</v>
      </c>
      <c r="Q95" s="89"/>
    </row>
    <row r="96" spans="1:17" s="54" customFormat="1">
      <c r="A96" s="10"/>
      <c r="B96" s="13"/>
      <c r="C96" s="11"/>
      <c r="D96" s="11"/>
      <c r="E96" s="11"/>
      <c r="F96" s="11"/>
      <c r="G96" s="103"/>
      <c r="H96" s="11"/>
      <c r="I96" s="72"/>
      <c r="J96" s="12"/>
      <c r="K96" s="11"/>
      <c r="L96" s="39"/>
      <c r="M96" s="12"/>
      <c r="N96" s="12"/>
      <c r="O96" s="103"/>
      <c r="P96" s="103"/>
      <c r="Q96" s="89"/>
    </row>
    <row r="97" spans="1:17">
      <c r="A97" s="136"/>
      <c r="B97" s="136"/>
      <c r="C97" s="136"/>
      <c r="D97" s="136"/>
      <c r="E97" s="136"/>
      <c r="F97" s="136"/>
      <c r="G97" s="136"/>
      <c r="H97" s="136"/>
      <c r="I97" s="136"/>
      <c r="J97" s="136"/>
      <c r="K97" s="136"/>
      <c r="L97" s="136"/>
      <c r="M97" s="136"/>
      <c r="N97" s="136"/>
      <c r="O97" s="136"/>
      <c r="P97" s="136"/>
      <c r="Q97" s="136"/>
    </row>
  </sheetData>
  <sheetCalcPr fullCalcOnLoad="1"/>
  <mergeCells count="4">
    <mergeCell ref="A46:Q46"/>
    <mergeCell ref="A97:Q97"/>
    <mergeCell ref="A1:Q1"/>
    <mergeCell ref="A50:Q50"/>
  </mergeCells>
  <phoneticPr fontId="2" type="noConversion"/>
  <pageMargins left="0.5" right="0.25" top="1.25" bottom="0.25" header="0.5" footer="0.5"/>
  <rowBreaks count="2" manualBreakCount="2">
    <brk id="47" max="16383" man="1"/>
    <brk id="98" max="16383" man="1" pt="1"/>
  </rowBreaks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Q100"/>
  <sheetViews>
    <sheetView zoomScale="125" workbookViewId="0">
      <selection sqref="A1:Q1"/>
    </sheetView>
  </sheetViews>
  <sheetFormatPr baseColWidth="10" defaultRowHeight="13"/>
  <cols>
    <col min="1" max="1" width="6.7109375" customWidth="1"/>
    <col min="2" max="2" width="4.7109375" customWidth="1"/>
    <col min="3" max="14" width="8.140625" customWidth="1"/>
    <col min="15" max="15" width="8.85546875" customWidth="1"/>
    <col min="16" max="16" width="10.140625" customWidth="1"/>
    <col min="17" max="17" width="15.42578125" customWidth="1"/>
  </cols>
  <sheetData>
    <row r="1" spans="1:17" ht="18">
      <c r="A1" s="131" t="s">
        <v>173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2"/>
      <c r="P1" s="138"/>
      <c r="Q1" s="138"/>
    </row>
    <row r="2" spans="1:17">
      <c r="L2" s="2"/>
    </row>
    <row r="3" spans="1:17" ht="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7" ht="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7" ht="1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7" ht="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7" ht="1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7" ht="1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7" ht="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7" ht="1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7" ht="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7" ht="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7" ht="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7" ht="1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7" ht="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7" ht="1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ht="1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ht="1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ht="1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ht="1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ht="1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ht="1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ht="1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ht="1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 ht="1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3" ht="1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 ht="1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 ht="1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ht="1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 ht="1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3" ht="1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ht="1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7" ht="1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7" ht="1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 spans="1:17" ht="1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1:17" ht="1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1:17" ht="1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1:17" ht="1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 spans="1:17" ht="1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 spans="1:17" ht="1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7" ht="1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7" ht="1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</row>
    <row r="43" spans="1:17">
      <c r="J43" s="2"/>
      <c r="L43" s="5"/>
    </row>
    <row r="44" spans="1:17">
      <c r="J44" s="2"/>
      <c r="L44" s="5"/>
    </row>
    <row r="45" spans="1:17">
      <c r="J45" s="2"/>
      <c r="L45" s="5"/>
    </row>
    <row r="46" spans="1:17">
      <c r="A46" s="133"/>
      <c r="B46" s="133"/>
      <c r="C46" s="133"/>
      <c r="D46" s="133"/>
      <c r="E46" s="133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7"/>
      <c r="Q46" s="137"/>
    </row>
    <row r="47" spans="1:17">
      <c r="J47" s="2"/>
      <c r="L47" s="5"/>
    </row>
    <row r="48" spans="1:17">
      <c r="J48" s="2"/>
      <c r="L48" s="5"/>
    </row>
    <row r="49" spans="1:17">
      <c r="A49" s="17"/>
      <c r="J49" s="2"/>
      <c r="L49" s="5"/>
    </row>
    <row r="50" spans="1:17" ht="18">
      <c r="A50" s="135" t="str">
        <f>A1</f>
        <v>Scenario 4:  Jane retires at age 66 and John at age 70.</v>
      </c>
      <c r="B50" s="135"/>
      <c r="C50" s="135"/>
      <c r="D50" s="135"/>
      <c r="E50" s="135"/>
      <c r="F50" s="135"/>
      <c r="G50" s="135"/>
      <c r="H50" s="135"/>
      <c r="I50" s="135"/>
      <c r="J50" s="135"/>
      <c r="K50" s="135"/>
      <c r="L50" s="135"/>
      <c r="M50" s="135"/>
      <c r="N50" s="135"/>
      <c r="O50" s="136"/>
      <c r="P50" s="139"/>
      <c r="Q50" s="139"/>
    </row>
    <row r="51" spans="1:17">
      <c r="A51" s="89"/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108"/>
      <c r="M51" s="89"/>
      <c r="N51" s="5"/>
      <c r="O51" s="89"/>
      <c r="P51" s="89"/>
      <c r="Q51" s="89"/>
    </row>
    <row r="52" spans="1:17">
      <c r="A52" s="49"/>
      <c r="B52" s="91" t="s">
        <v>199</v>
      </c>
      <c r="C52" s="95">
        <v>0.03</v>
      </c>
      <c r="D52" s="95">
        <v>0.03</v>
      </c>
      <c r="E52" s="95">
        <v>0.03</v>
      </c>
      <c r="F52" s="95">
        <v>0.03</v>
      </c>
      <c r="G52" s="96">
        <v>0.06</v>
      </c>
      <c r="H52" s="95">
        <v>0.03</v>
      </c>
      <c r="I52" s="92"/>
      <c r="J52" s="95">
        <v>0.03</v>
      </c>
      <c r="K52" s="95"/>
      <c r="L52" s="97">
        <v>0.22</v>
      </c>
      <c r="M52" s="95">
        <v>0.03</v>
      </c>
      <c r="N52" s="98"/>
      <c r="O52" s="98"/>
      <c r="P52" s="89"/>
      <c r="Q52" s="89"/>
    </row>
    <row r="53" spans="1:17" s="54" customFormat="1">
      <c r="A53" s="49"/>
      <c r="B53" s="91"/>
      <c r="C53" s="92"/>
      <c r="D53" s="92"/>
      <c r="E53" s="92"/>
      <c r="F53" s="99"/>
      <c r="G53" s="96"/>
      <c r="H53" s="99"/>
      <c r="I53" s="92"/>
      <c r="J53" s="99"/>
      <c r="K53" s="100"/>
      <c r="L53" s="99"/>
      <c r="M53" s="99"/>
      <c r="N53" s="98"/>
      <c r="O53" s="98"/>
      <c r="P53" s="6" t="s">
        <v>53</v>
      </c>
      <c r="Q53" s="89"/>
    </row>
    <row r="54" spans="1:17">
      <c r="A54" s="7" t="s">
        <v>54</v>
      </c>
      <c r="B54" s="16" t="s">
        <v>200</v>
      </c>
      <c r="C54" s="9" t="s">
        <v>11</v>
      </c>
      <c r="D54" s="9" t="s">
        <v>13</v>
      </c>
      <c r="E54" s="73" t="s">
        <v>14</v>
      </c>
      <c r="F54" s="9" t="s">
        <v>15</v>
      </c>
      <c r="G54" s="6" t="s">
        <v>16</v>
      </c>
      <c r="H54" s="9" t="s">
        <v>17</v>
      </c>
      <c r="I54" s="14" t="s">
        <v>18</v>
      </c>
      <c r="J54" s="9" t="s">
        <v>19</v>
      </c>
      <c r="K54" s="9" t="s">
        <v>20</v>
      </c>
      <c r="L54" s="9" t="s">
        <v>21</v>
      </c>
      <c r="M54" s="9" t="s">
        <v>22</v>
      </c>
      <c r="N54" s="14" t="s">
        <v>23</v>
      </c>
      <c r="O54" s="9" t="s">
        <v>24</v>
      </c>
      <c r="P54" s="6" t="s">
        <v>25</v>
      </c>
      <c r="Q54" s="8" t="s">
        <v>43</v>
      </c>
    </row>
    <row r="55" spans="1:17">
      <c r="A55" s="114">
        <v>2019</v>
      </c>
      <c r="B55" s="101">
        <f>A55-1959</f>
        <v>60</v>
      </c>
      <c r="C55" s="11">
        <f>IncExp!G4</f>
        <v>120000</v>
      </c>
      <c r="D55" s="11">
        <f>IncExp!G5</f>
        <v>90000</v>
      </c>
      <c r="E55" s="39">
        <v>0</v>
      </c>
      <c r="F55" s="11">
        <v>0</v>
      </c>
      <c r="G55" s="39">
        <f>IncExp!G7</f>
        <v>70000</v>
      </c>
      <c r="H55" s="11">
        <v>0</v>
      </c>
      <c r="I55" s="15">
        <f>SUM(C55:H55)</f>
        <v>280000</v>
      </c>
      <c r="J55" s="11">
        <f>RecExp!G42</f>
        <v>105000</v>
      </c>
      <c r="K55" s="11">
        <f>IncExp!C12</f>
        <v>24000</v>
      </c>
      <c r="L55" s="11">
        <f>IncExp!C45</f>
        <v>71000</v>
      </c>
      <c r="M55" s="39">
        <f>IncExp!G25</f>
        <v>5000</v>
      </c>
      <c r="N55" s="102">
        <f>SUM(J55:M55)</f>
        <v>205000</v>
      </c>
      <c r="O55" s="103">
        <f>I55-N55</f>
        <v>75000</v>
      </c>
      <c r="P55" s="11">
        <f>BalSht!G31</f>
        <v>1700000</v>
      </c>
      <c r="Q55" s="88" t="s">
        <v>26</v>
      </c>
    </row>
    <row r="56" spans="1:17">
      <c r="A56" s="114">
        <f t="shared" ref="A56:B71" si="0">A55+1</f>
        <v>2020</v>
      </c>
      <c r="B56" s="114">
        <f t="shared" si="0"/>
        <v>61</v>
      </c>
      <c r="C56" s="11">
        <f t="shared" ref="C56:D60" si="1">C55*(1+C$52)</f>
        <v>123600</v>
      </c>
      <c r="D56" s="11">
        <f t="shared" si="1"/>
        <v>92700</v>
      </c>
      <c r="E56" s="39">
        <v>0</v>
      </c>
      <c r="F56" s="11">
        <f>F55*F$52</f>
        <v>0</v>
      </c>
      <c r="G56" s="104">
        <f>IF(P55&gt;0,P55*G$52,0)</f>
        <v>102000</v>
      </c>
      <c r="H56" s="11">
        <v>0</v>
      </c>
      <c r="I56" s="15">
        <f t="shared" ref="I56:I94" si="2">SUM(C56:H56)</f>
        <v>318300</v>
      </c>
      <c r="J56" s="11">
        <f t="shared" ref="J56:J95" si="3">J55*(1+J$52)</f>
        <v>108150</v>
      </c>
      <c r="K56" s="11">
        <f>K55</f>
        <v>24000</v>
      </c>
      <c r="L56" s="39">
        <f>I56*L$52</f>
        <v>70026</v>
      </c>
      <c r="M56" s="12">
        <f>M55</f>
        <v>5000</v>
      </c>
      <c r="N56" s="102">
        <f t="shared" ref="N56:N91" si="4">SUM(J56:M56)</f>
        <v>207176</v>
      </c>
      <c r="O56" s="103">
        <f t="shared" ref="O56:O91" si="5">I56-N56</f>
        <v>111124</v>
      </c>
      <c r="P56" s="103">
        <f>P55+O56</f>
        <v>1811124</v>
      </c>
      <c r="Q56" s="88"/>
    </row>
    <row r="57" spans="1:17">
      <c r="A57" s="114">
        <f t="shared" si="0"/>
        <v>2021</v>
      </c>
      <c r="B57" s="114">
        <f t="shared" si="0"/>
        <v>62</v>
      </c>
      <c r="C57" s="11">
        <f t="shared" si="1"/>
        <v>127308</v>
      </c>
      <c r="D57" s="11">
        <f t="shared" si="1"/>
        <v>95481</v>
      </c>
      <c r="E57" s="39">
        <v>0</v>
      </c>
      <c r="F57" s="11">
        <f>F56*F$52</f>
        <v>0</v>
      </c>
      <c r="G57" s="103">
        <f t="shared" ref="G57:G91" si="6">IF(P56&gt;0,P56*G$52,0)</f>
        <v>108667.44</v>
      </c>
      <c r="H57" s="11">
        <v>0</v>
      </c>
      <c r="I57" s="15">
        <f t="shared" si="2"/>
        <v>331456.44</v>
      </c>
      <c r="J57" s="11">
        <f t="shared" si="3"/>
        <v>111394.5</v>
      </c>
      <c r="K57" s="11">
        <f t="shared" ref="K57:K76" si="7">K56</f>
        <v>24000</v>
      </c>
      <c r="L57" s="39">
        <f>I57*L$52</f>
        <v>72920.416800000006</v>
      </c>
      <c r="M57" s="11">
        <f>M56*(1+M$52)</f>
        <v>5150</v>
      </c>
      <c r="N57" s="102">
        <f t="shared" si="4"/>
        <v>213464.91680000001</v>
      </c>
      <c r="O57" s="103">
        <f t="shared" si="5"/>
        <v>117991.5232</v>
      </c>
      <c r="P57" s="103">
        <f t="shared" ref="P57:P91" si="8">P56+O57</f>
        <v>1929115.5231999999</v>
      </c>
      <c r="Q57" s="89"/>
    </row>
    <row r="58" spans="1:17">
      <c r="A58" s="114">
        <f t="shared" si="0"/>
        <v>2022</v>
      </c>
      <c r="B58" s="114">
        <f t="shared" si="0"/>
        <v>63</v>
      </c>
      <c r="C58" s="11">
        <f t="shared" si="1"/>
        <v>131127.24</v>
      </c>
      <c r="D58" s="11">
        <f t="shared" si="1"/>
        <v>98345.430000000008</v>
      </c>
      <c r="E58" s="39">
        <v>0</v>
      </c>
      <c r="F58" s="11">
        <f>F57*F$52</f>
        <v>0</v>
      </c>
      <c r="G58" s="103">
        <f t="shared" si="6"/>
        <v>115746.931392</v>
      </c>
      <c r="H58" s="11">
        <v>0</v>
      </c>
      <c r="I58" s="15">
        <f t="shared" si="2"/>
        <v>345219.60139199998</v>
      </c>
      <c r="J58" s="11">
        <f t="shared" si="3"/>
        <v>114736.33500000001</v>
      </c>
      <c r="K58" s="11">
        <f t="shared" si="7"/>
        <v>24000</v>
      </c>
      <c r="L58" s="39">
        <f t="shared" ref="L58:L94" si="9">I58*L$52</f>
        <v>75948.312306239997</v>
      </c>
      <c r="M58" s="11">
        <f>M57*(1+M$52)</f>
        <v>5304.5</v>
      </c>
      <c r="N58" s="102">
        <f t="shared" si="4"/>
        <v>219989.14730624002</v>
      </c>
      <c r="O58" s="103">
        <f t="shared" si="5"/>
        <v>125230.45408575996</v>
      </c>
      <c r="P58" s="103">
        <f t="shared" si="8"/>
        <v>2054345.97728576</v>
      </c>
      <c r="Q58" s="89"/>
    </row>
    <row r="59" spans="1:17">
      <c r="A59" s="114">
        <f t="shared" si="0"/>
        <v>2023</v>
      </c>
      <c r="B59" s="114">
        <f t="shared" si="0"/>
        <v>64</v>
      </c>
      <c r="C59" s="11">
        <f t="shared" si="1"/>
        <v>135061.05719999998</v>
      </c>
      <c r="D59" s="11">
        <f t="shared" si="1"/>
        <v>101295.79290000001</v>
      </c>
      <c r="E59" s="39">
        <v>0</v>
      </c>
      <c r="F59" s="11">
        <f>F58*F$52</f>
        <v>0</v>
      </c>
      <c r="G59" s="103">
        <f t="shared" si="6"/>
        <v>123260.7586371456</v>
      </c>
      <c r="H59" s="11">
        <v>0</v>
      </c>
      <c r="I59" s="15">
        <f t="shared" si="2"/>
        <v>359617.60873714555</v>
      </c>
      <c r="J59" s="11">
        <f t="shared" si="3"/>
        <v>118178.42505000001</v>
      </c>
      <c r="K59" s="11">
        <f t="shared" si="7"/>
        <v>24000</v>
      </c>
      <c r="L59" s="39">
        <f t="shared" si="9"/>
        <v>79115.873922172017</v>
      </c>
      <c r="M59" s="11">
        <f>M58*(1+M$52)</f>
        <v>5463.6350000000002</v>
      </c>
      <c r="N59" s="102">
        <f t="shared" si="4"/>
        <v>226757.93397217203</v>
      </c>
      <c r="O59" s="103">
        <f t="shared" si="5"/>
        <v>132859.67476497352</v>
      </c>
      <c r="P59" s="103">
        <f t="shared" si="8"/>
        <v>2187205.6520507336</v>
      </c>
      <c r="Q59" s="89"/>
    </row>
    <row r="60" spans="1:17">
      <c r="A60" s="114">
        <f t="shared" si="0"/>
        <v>2024</v>
      </c>
      <c r="B60" s="114">
        <f t="shared" si="0"/>
        <v>65</v>
      </c>
      <c r="C60" s="11">
        <f t="shared" si="1"/>
        <v>139112.888916</v>
      </c>
      <c r="D60" s="11">
        <f t="shared" si="1"/>
        <v>104334.66668700002</v>
      </c>
      <c r="E60" s="39">
        <v>0</v>
      </c>
      <c r="F60" s="11">
        <f>F59*F$52</f>
        <v>0</v>
      </c>
      <c r="G60" s="103">
        <f t="shared" si="6"/>
        <v>131232.33912304402</v>
      </c>
      <c r="H60" s="11">
        <v>0</v>
      </c>
      <c r="I60" s="15">
        <f t="shared" si="2"/>
        <v>374679.89472604403</v>
      </c>
      <c r="J60" s="11">
        <f t="shared" si="3"/>
        <v>121723.77780150001</v>
      </c>
      <c r="K60" s="11">
        <f t="shared" si="7"/>
        <v>24000</v>
      </c>
      <c r="L60" s="39">
        <f t="shared" si="9"/>
        <v>82429.576839729692</v>
      </c>
      <c r="M60" s="11">
        <f>M59*(1+M$52)</f>
        <v>5627.5440500000004</v>
      </c>
      <c r="N60" s="102">
        <f t="shared" si="4"/>
        <v>233780.89869122967</v>
      </c>
      <c r="O60" s="103">
        <f t="shared" si="5"/>
        <v>140898.99603481436</v>
      </c>
      <c r="P60" s="103">
        <f t="shared" si="8"/>
        <v>2328104.6480855481</v>
      </c>
      <c r="Q60" s="89"/>
    </row>
    <row r="61" spans="1:17">
      <c r="A61" s="114">
        <f t="shared" si="0"/>
        <v>2025</v>
      </c>
      <c r="B61" s="114">
        <f t="shared" si="0"/>
        <v>66</v>
      </c>
      <c r="C61" s="11">
        <f>C60*(1+C$52)</f>
        <v>143286.27558347999</v>
      </c>
      <c r="D61" s="11">
        <v>0</v>
      </c>
      <c r="E61" s="11">
        <f>E60*E$52</f>
        <v>0</v>
      </c>
      <c r="F61" s="11">
        <f>1500*12</f>
        <v>18000</v>
      </c>
      <c r="G61" s="103">
        <f t="shared" si="6"/>
        <v>139686.27888513287</v>
      </c>
      <c r="H61" s="11">
        <v>0</v>
      </c>
      <c r="I61" s="15">
        <f t="shared" si="2"/>
        <v>300972.55446861289</v>
      </c>
      <c r="J61" s="11">
        <f t="shared" si="3"/>
        <v>125375.49113554502</v>
      </c>
      <c r="K61" s="11">
        <f t="shared" si="7"/>
        <v>24000</v>
      </c>
      <c r="L61" s="39">
        <f t="shared" si="9"/>
        <v>66213.961983094836</v>
      </c>
      <c r="M61" s="11">
        <f>M60*(1+M$52)</f>
        <v>5796.3703715000001</v>
      </c>
      <c r="N61" s="102">
        <f t="shared" si="4"/>
        <v>221385.82349013985</v>
      </c>
      <c r="O61" s="103">
        <f t="shared" si="5"/>
        <v>79586.730978473031</v>
      </c>
      <c r="P61" s="103">
        <f t="shared" si="8"/>
        <v>2407691.3790640212</v>
      </c>
      <c r="Q61" s="89"/>
    </row>
    <row r="62" spans="1:17">
      <c r="A62" s="114">
        <f t="shared" si="0"/>
        <v>2026</v>
      </c>
      <c r="B62" s="114">
        <f t="shared" si="0"/>
        <v>67</v>
      </c>
      <c r="C62" s="11">
        <f>C61*(1+C$52)</f>
        <v>147584.8638509844</v>
      </c>
      <c r="D62" s="11">
        <v>0</v>
      </c>
      <c r="E62" s="11">
        <f>E61*E$52</f>
        <v>0</v>
      </c>
      <c r="F62" s="11">
        <f t="shared" ref="F62:F95" si="10">F61*(1+F$52)</f>
        <v>18540</v>
      </c>
      <c r="G62" s="103">
        <f t="shared" si="6"/>
        <v>144461.48274384128</v>
      </c>
      <c r="H62" s="11">
        <v>0</v>
      </c>
      <c r="I62" s="15">
        <f t="shared" si="2"/>
        <v>310586.34659482568</v>
      </c>
      <c r="J62" s="11">
        <f t="shared" si="3"/>
        <v>129136.75586961137</v>
      </c>
      <c r="K62" s="11">
        <f t="shared" si="7"/>
        <v>24000</v>
      </c>
      <c r="L62" s="39">
        <f t="shared" si="9"/>
        <v>68328.996250861645</v>
      </c>
      <c r="M62" s="11">
        <f>M61</f>
        <v>5796.3703715000001</v>
      </c>
      <c r="N62" s="102">
        <f t="shared" si="4"/>
        <v>227262.12249197302</v>
      </c>
      <c r="O62" s="103">
        <f t="shared" si="5"/>
        <v>83324.224102852662</v>
      </c>
      <c r="P62" s="103">
        <f t="shared" si="8"/>
        <v>2491015.603166874</v>
      </c>
      <c r="Q62" s="89"/>
    </row>
    <row r="63" spans="1:17">
      <c r="A63" s="114">
        <f t="shared" si="0"/>
        <v>2027</v>
      </c>
      <c r="B63" s="114">
        <f t="shared" si="0"/>
        <v>68</v>
      </c>
      <c r="C63" s="11">
        <f>C62*(1+C$52)</f>
        <v>152012.40976651394</v>
      </c>
      <c r="D63" s="11">
        <v>0</v>
      </c>
      <c r="E63" s="11">
        <f>E62*E$52</f>
        <v>0</v>
      </c>
      <c r="F63" s="11">
        <f t="shared" si="10"/>
        <v>19096.2</v>
      </c>
      <c r="G63" s="103">
        <f t="shared" si="6"/>
        <v>149460.93619001243</v>
      </c>
      <c r="H63" s="11">
        <v>0</v>
      </c>
      <c r="I63" s="15">
        <f t="shared" si="2"/>
        <v>320569.54595652642</v>
      </c>
      <c r="J63" s="11">
        <f t="shared" si="3"/>
        <v>133010.85854569971</v>
      </c>
      <c r="K63" s="11">
        <f t="shared" si="7"/>
        <v>24000</v>
      </c>
      <c r="L63" s="39">
        <f t="shared" si="9"/>
        <v>70525.300110435812</v>
      </c>
      <c r="M63" s="11">
        <f t="shared" ref="M63:M95" si="11">M62*(1+M$52)</f>
        <v>5970.2614826449999</v>
      </c>
      <c r="N63" s="102">
        <f t="shared" si="4"/>
        <v>233506.42013878052</v>
      </c>
      <c r="O63" s="103">
        <f t="shared" si="5"/>
        <v>87063.125817745895</v>
      </c>
      <c r="P63" s="103">
        <f t="shared" si="8"/>
        <v>2578078.72898462</v>
      </c>
      <c r="Q63" s="89"/>
    </row>
    <row r="64" spans="1:17">
      <c r="A64" s="114">
        <f t="shared" si="0"/>
        <v>2028</v>
      </c>
      <c r="B64" s="114">
        <f t="shared" si="0"/>
        <v>69</v>
      </c>
      <c r="C64" s="11">
        <f>C63*(1+C$52)</f>
        <v>156572.78205950937</v>
      </c>
      <c r="D64" s="11">
        <v>0</v>
      </c>
      <c r="E64" s="11">
        <f>E63*E$52</f>
        <v>0</v>
      </c>
      <c r="F64" s="11">
        <f t="shared" si="10"/>
        <v>19669.086000000003</v>
      </c>
      <c r="G64" s="103">
        <f t="shared" si="6"/>
        <v>154684.72373907719</v>
      </c>
      <c r="H64" s="11">
        <v>0</v>
      </c>
      <c r="I64" s="15">
        <f t="shared" si="2"/>
        <v>330926.59179858654</v>
      </c>
      <c r="J64" s="11">
        <f t="shared" si="3"/>
        <v>137001.1843020707</v>
      </c>
      <c r="K64" s="11">
        <f t="shared" si="7"/>
        <v>24000</v>
      </c>
      <c r="L64" s="39">
        <f t="shared" si="9"/>
        <v>72803.85019568904</v>
      </c>
      <c r="M64" s="11">
        <f t="shared" si="11"/>
        <v>6149.3693271243501</v>
      </c>
      <c r="N64" s="102">
        <f t="shared" si="4"/>
        <v>239954.4038248841</v>
      </c>
      <c r="O64" s="103">
        <f t="shared" si="5"/>
        <v>90972.187973702443</v>
      </c>
      <c r="P64" s="103">
        <f t="shared" si="8"/>
        <v>2669050.9169583223</v>
      </c>
      <c r="Q64" s="89"/>
    </row>
    <row r="65" spans="1:17">
      <c r="A65" s="114">
        <f t="shared" si="0"/>
        <v>2029</v>
      </c>
      <c r="B65" s="114">
        <f t="shared" si="0"/>
        <v>70</v>
      </c>
      <c r="C65" s="11">
        <v>0</v>
      </c>
      <c r="D65" s="11">
        <v>0</v>
      </c>
      <c r="E65" s="11">
        <f>2000*1.32*12</f>
        <v>31680</v>
      </c>
      <c r="F65" s="11">
        <f t="shared" si="10"/>
        <v>20259.158580000003</v>
      </c>
      <c r="G65" s="103">
        <f t="shared" si="6"/>
        <v>160143.05501749934</v>
      </c>
      <c r="H65" s="11">
        <v>0</v>
      </c>
      <c r="I65" s="15">
        <f t="shared" si="2"/>
        <v>212082.21359749936</v>
      </c>
      <c r="J65" s="11">
        <f t="shared" si="3"/>
        <v>141111.21983113282</v>
      </c>
      <c r="K65" s="11">
        <f t="shared" si="7"/>
        <v>24000</v>
      </c>
      <c r="L65" s="39">
        <f t="shared" si="9"/>
        <v>46658.086991449862</v>
      </c>
      <c r="M65" s="11">
        <f>M64*(1+M$52)</f>
        <v>6333.8504069380806</v>
      </c>
      <c r="N65" s="102">
        <f t="shared" si="4"/>
        <v>218103.15722952076</v>
      </c>
      <c r="O65" s="103">
        <f t="shared" si="5"/>
        <v>-6020.9436320214008</v>
      </c>
      <c r="P65" s="103">
        <f t="shared" si="8"/>
        <v>2663029.9733263007</v>
      </c>
      <c r="Q65" s="89"/>
    </row>
    <row r="66" spans="1:17">
      <c r="A66" s="114">
        <f t="shared" si="0"/>
        <v>2030</v>
      </c>
      <c r="B66" s="114">
        <f t="shared" si="0"/>
        <v>71</v>
      </c>
      <c r="C66" s="11">
        <v>0</v>
      </c>
      <c r="D66" s="11">
        <v>0</v>
      </c>
      <c r="E66" s="11">
        <f t="shared" ref="E66:E95" si="12">E65*(1+E$52)</f>
        <v>32630.400000000001</v>
      </c>
      <c r="F66" s="11">
        <f t="shared" si="10"/>
        <v>20866.933337400005</v>
      </c>
      <c r="G66" s="103">
        <f t="shared" si="6"/>
        <v>159781.79839957805</v>
      </c>
      <c r="H66" s="11">
        <v>0</v>
      </c>
      <c r="I66" s="15">
        <f t="shared" si="2"/>
        <v>213279.13173697807</v>
      </c>
      <c r="J66" s="11">
        <f t="shared" si="3"/>
        <v>145344.55642606682</v>
      </c>
      <c r="K66" s="11">
        <f t="shared" si="7"/>
        <v>24000</v>
      </c>
      <c r="L66" s="39">
        <f t="shared" si="9"/>
        <v>46921.408982135174</v>
      </c>
      <c r="M66" s="106">
        <f>M65*(1+M$52)*10</f>
        <v>65238.659191462226</v>
      </c>
      <c r="N66" s="102">
        <f t="shared" si="4"/>
        <v>281504.62459966424</v>
      </c>
      <c r="O66" s="103">
        <f t="shared" si="5"/>
        <v>-68225.492862686166</v>
      </c>
      <c r="P66" s="103">
        <f t="shared" si="8"/>
        <v>2594804.4804636147</v>
      </c>
      <c r="Q66" s="89" t="s">
        <v>134</v>
      </c>
    </row>
    <row r="67" spans="1:17">
      <c r="A67" s="114">
        <f t="shared" si="0"/>
        <v>2031</v>
      </c>
      <c r="B67" s="114">
        <f t="shared" si="0"/>
        <v>72</v>
      </c>
      <c r="C67" s="11">
        <v>0</v>
      </c>
      <c r="D67" s="11">
        <v>0</v>
      </c>
      <c r="E67" s="11">
        <f t="shared" si="12"/>
        <v>33609.312000000005</v>
      </c>
      <c r="F67" s="11">
        <f t="shared" si="10"/>
        <v>21492.941337522007</v>
      </c>
      <c r="G67" s="103">
        <f t="shared" si="6"/>
        <v>155688.26882781688</v>
      </c>
      <c r="H67" s="11">
        <v>0</v>
      </c>
      <c r="I67" s="15">
        <f t="shared" si="2"/>
        <v>210790.52216533889</v>
      </c>
      <c r="J67" s="11">
        <f t="shared" si="3"/>
        <v>149704.89311884882</v>
      </c>
      <c r="K67" s="11">
        <f t="shared" si="7"/>
        <v>24000</v>
      </c>
      <c r="L67" s="39">
        <f t="shared" si="9"/>
        <v>46373.914876374554</v>
      </c>
      <c r="M67" s="106">
        <f t="shared" si="11"/>
        <v>67195.818967206098</v>
      </c>
      <c r="N67" s="102">
        <f t="shared" si="4"/>
        <v>287274.62696242949</v>
      </c>
      <c r="O67" s="103">
        <f t="shared" si="5"/>
        <v>-76484.104797090607</v>
      </c>
      <c r="P67" s="103">
        <f t="shared" si="8"/>
        <v>2518320.3756665243</v>
      </c>
      <c r="Q67" s="89" t="s">
        <v>134</v>
      </c>
    </row>
    <row r="68" spans="1:17">
      <c r="A68" s="114">
        <f t="shared" si="0"/>
        <v>2032</v>
      </c>
      <c r="B68" s="114">
        <f t="shared" si="0"/>
        <v>73</v>
      </c>
      <c r="C68" s="11">
        <v>0</v>
      </c>
      <c r="D68" s="11">
        <v>0</v>
      </c>
      <c r="E68" s="11">
        <f t="shared" si="12"/>
        <v>34617.591360000006</v>
      </c>
      <c r="F68" s="11">
        <f t="shared" si="10"/>
        <v>22137.729577647668</v>
      </c>
      <c r="G68" s="103">
        <f t="shared" si="6"/>
        <v>151099.22253999146</v>
      </c>
      <c r="H68" s="11">
        <v>0</v>
      </c>
      <c r="I68" s="15">
        <f t="shared" si="2"/>
        <v>207854.54347763915</v>
      </c>
      <c r="J68" s="11">
        <f t="shared" si="3"/>
        <v>154196.0399124143</v>
      </c>
      <c r="K68" s="11">
        <f t="shared" si="7"/>
        <v>24000</v>
      </c>
      <c r="L68" s="39">
        <f t="shared" si="9"/>
        <v>45727.999565080616</v>
      </c>
      <c r="M68" s="106">
        <f t="shared" si="11"/>
        <v>69211.693536222287</v>
      </c>
      <c r="N68" s="102">
        <f t="shared" si="4"/>
        <v>293135.73301371722</v>
      </c>
      <c r="O68" s="103">
        <f t="shared" si="5"/>
        <v>-85281.189536078076</v>
      </c>
      <c r="P68" s="103">
        <f t="shared" si="8"/>
        <v>2433039.1861304464</v>
      </c>
      <c r="Q68" s="89" t="s">
        <v>134</v>
      </c>
    </row>
    <row r="69" spans="1:17">
      <c r="A69" s="114">
        <f t="shared" si="0"/>
        <v>2033</v>
      </c>
      <c r="B69" s="114">
        <f t="shared" si="0"/>
        <v>74</v>
      </c>
      <c r="C69" s="11">
        <v>0</v>
      </c>
      <c r="D69" s="11">
        <v>0</v>
      </c>
      <c r="E69" s="11">
        <f t="shared" si="12"/>
        <v>35656.11910080001</v>
      </c>
      <c r="F69" s="11">
        <f t="shared" si="10"/>
        <v>22801.861464977097</v>
      </c>
      <c r="G69" s="103">
        <f t="shared" si="6"/>
        <v>145982.35116782677</v>
      </c>
      <c r="H69" s="11">
        <v>0</v>
      </c>
      <c r="I69" s="15">
        <f t="shared" si="2"/>
        <v>204440.33173360387</v>
      </c>
      <c r="J69" s="11">
        <f t="shared" si="3"/>
        <v>158821.92110978672</v>
      </c>
      <c r="K69" s="11">
        <f t="shared" si="7"/>
        <v>24000</v>
      </c>
      <c r="L69" s="39">
        <f t="shared" si="9"/>
        <v>44976.872981392851</v>
      </c>
      <c r="M69" s="11">
        <f>M68*(1+M$52)/10</f>
        <v>7128.8044342308958</v>
      </c>
      <c r="N69" s="102">
        <f t="shared" si="4"/>
        <v>234927.59852541046</v>
      </c>
      <c r="O69" s="103">
        <f t="shared" si="5"/>
        <v>-30487.266791806585</v>
      </c>
      <c r="P69" s="103">
        <f t="shared" si="8"/>
        <v>2402551.9193386398</v>
      </c>
      <c r="Q69" s="89"/>
    </row>
    <row r="70" spans="1:17">
      <c r="A70" s="114">
        <f t="shared" si="0"/>
        <v>2034</v>
      </c>
      <c r="B70" s="114">
        <f t="shared" si="0"/>
        <v>75</v>
      </c>
      <c r="C70" s="11">
        <v>0</v>
      </c>
      <c r="D70" s="11">
        <v>0</v>
      </c>
      <c r="E70" s="11">
        <f t="shared" si="12"/>
        <v>36725.802673824008</v>
      </c>
      <c r="F70" s="11">
        <f t="shared" si="10"/>
        <v>23485.917308926411</v>
      </c>
      <c r="G70" s="103">
        <f t="shared" si="6"/>
        <v>144153.11516031838</v>
      </c>
      <c r="H70" s="11">
        <v>0</v>
      </c>
      <c r="I70" s="15">
        <f t="shared" si="2"/>
        <v>204364.83514306881</v>
      </c>
      <c r="J70" s="11">
        <f t="shared" si="3"/>
        <v>163586.57874308032</v>
      </c>
      <c r="K70" s="11">
        <f t="shared" si="7"/>
        <v>24000</v>
      </c>
      <c r="L70" s="39">
        <f t="shared" si="9"/>
        <v>44960.263731475141</v>
      </c>
      <c r="M70" s="11">
        <f t="shared" si="11"/>
        <v>7342.6685672578233</v>
      </c>
      <c r="N70" s="102">
        <f t="shared" si="4"/>
        <v>239889.51104181327</v>
      </c>
      <c r="O70" s="103">
        <f t="shared" si="5"/>
        <v>-35524.675898744463</v>
      </c>
      <c r="P70" s="103">
        <f t="shared" si="8"/>
        <v>2367027.2434398956</v>
      </c>
      <c r="Q70" s="89"/>
    </row>
    <row r="71" spans="1:17">
      <c r="A71" s="114">
        <f t="shared" si="0"/>
        <v>2035</v>
      </c>
      <c r="B71" s="114">
        <f t="shared" si="0"/>
        <v>76</v>
      </c>
      <c r="C71" s="11">
        <v>0</v>
      </c>
      <c r="D71" s="11">
        <v>0</v>
      </c>
      <c r="E71" s="11">
        <f t="shared" si="12"/>
        <v>37827.576754038731</v>
      </c>
      <c r="F71" s="11">
        <f t="shared" si="10"/>
        <v>24190.494828194205</v>
      </c>
      <c r="G71" s="103">
        <f t="shared" si="6"/>
        <v>142021.63460639372</v>
      </c>
      <c r="H71" s="11">
        <v>0</v>
      </c>
      <c r="I71" s="15">
        <f t="shared" si="2"/>
        <v>204039.70618862665</v>
      </c>
      <c r="J71" s="11">
        <f t="shared" si="3"/>
        <v>168494.17610537272</v>
      </c>
      <c r="K71" s="11">
        <f t="shared" si="7"/>
        <v>24000</v>
      </c>
      <c r="L71" s="39">
        <f t="shared" si="9"/>
        <v>44888.735361497864</v>
      </c>
      <c r="M71" s="11">
        <f t="shared" si="11"/>
        <v>7562.9486242755584</v>
      </c>
      <c r="N71" s="102">
        <f t="shared" si="4"/>
        <v>244945.86009114614</v>
      </c>
      <c r="O71" s="103">
        <f t="shared" si="5"/>
        <v>-40906.153902519494</v>
      </c>
      <c r="P71" s="103">
        <f t="shared" si="8"/>
        <v>2326121.0895373761</v>
      </c>
      <c r="Q71" s="10"/>
    </row>
    <row r="72" spans="1:17">
      <c r="A72" s="114">
        <f t="shared" ref="A72:B87" si="13">A71+1</f>
        <v>2036</v>
      </c>
      <c r="B72" s="114">
        <f t="shared" si="13"/>
        <v>77</v>
      </c>
      <c r="C72" s="11">
        <v>0</v>
      </c>
      <c r="D72" s="11">
        <v>0</v>
      </c>
      <c r="E72" s="11">
        <f t="shared" si="12"/>
        <v>38962.404056659892</v>
      </c>
      <c r="F72" s="11">
        <f t="shared" si="10"/>
        <v>24916.209673040034</v>
      </c>
      <c r="G72" s="103">
        <f t="shared" si="6"/>
        <v>139567.26537224255</v>
      </c>
      <c r="H72" s="11">
        <v>0</v>
      </c>
      <c r="I72" s="15">
        <f t="shared" si="2"/>
        <v>203445.87910194247</v>
      </c>
      <c r="J72" s="11">
        <f t="shared" si="3"/>
        <v>173549.00138853391</v>
      </c>
      <c r="K72" s="106">
        <v>0</v>
      </c>
      <c r="L72" s="39">
        <f t="shared" si="9"/>
        <v>44758.093402427345</v>
      </c>
      <c r="M72" s="39">
        <f>M71/5</f>
        <v>1512.5897248551116</v>
      </c>
      <c r="N72" s="102">
        <f t="shared" si="4"/>
        <v>219819.68451581636</v>
      </c>
      <c r="O72" s="103">
        <f t="shared" si="5"/>
        <v>-16373.805413873895</v>
      </c>
      <c r="P72" s="103">
        <f t="shared" si="8"/>
        <v>2309747.2841235022</v>
      </c>
      <c r="Q72" s="105" t="s">
        <v>178</v>
      </c>
    </row>
    <row r="73" spans="1:17">
      <c r="A73" s="114">
        <f t="shared" si="13"/>
        <v>2037</v>
      </c>
      <c r="B73" s="114">
        <f t="shared" si="13"/>
        <v>78</v>
      </c>
      <c r="C73" s="11">
        <v>0</v>
      </c>
      <c r="D73" s="11">
        <v>0</v>
      </c>
      <c r="E73" s="11">
        <f t="shared" si="12"/>
        <v>40131.276178359687</v>
      </c>
      <c r="F73" s="11">
        <f t="shared" si="10"/>
        <v>25663.695963231236</v>
      </c>
      <c r="G73" s="103">
        <f t="shared" si="6"/>
        <v>138584.83704741014</v>
      </c>
      <c r="H73" s="11">
        <v>0</v>
      </c>
      <c r="I73" s="15">
        <f t="shared" si="2"/>
        <v>204379.80918900107</v>
      </c>
      <c r="J73" s="11">
        <f t="shared" si="3"/>
        <v>178755.47143018994</v>
      </c>
      <c r="K73" s="11">
        <f t="shared" si="7"/>
        <v>0</v>
      </c>
      <c r="L73" s="39">
        <f t="shared" si="9"/>
        <v>44963.558021580233</v>
      </c>
      <c r="M73" s="11">
        <f t="shared" si="11"/>
        <v>1557.9674166007651</v>
      </c>
      <c r="N73" s="102">
        <f t="shared" si="4"/>
        <v>225276.99686837094</v>
      </c>
      <c r="O73" s="103">
        <f t="shared" si="5"/>
        <v>-20897.187679369876</v>
      </c>
      <c r="P73" s="103">
        <f t="shared" si="8"/>
        <v>2288850.0964441323</v>
      </c>
      <c r="Q73" s="10"/>
    </row>
    <row r="74" spans="1:17">
      <c r="A74" s="114">
        <f t="shared" si="13"/>
        <v>2038</v>
      </c>
      <c r="B74" s="114">
        <f t="shared" si="13"/>
        <v>79</v>
      </c>
      <c r="C74" s="11">
        <v>0</v>
      </c>
      <c r="D74" s="11">
        <v>0</v>
      </c>
      <c r="E74" s="11">
        <f t="shared" si="12"/>
        <v>41335.214463710479</v>
      </c>
      <c r="F74" s="11">
        <f t="shared" si="10"/>
        <v>26433.606842128174</v>
      </c>
      <c r="G74" s="103">
        <f t="shared" si="6"/>
        <v>137331.00578664793</v>
      </c>
      <c r="H74" s="11">
        <v>0</v>
      </c>
      <c r="I74" s="15">
        <f t="shared" si="2"/>
        <v>205099.82709248658</v>
      </c>
      <c r="J74" s="11">
        <f t="shared" si="3"/>
        <v>184118.13557309564</v>
      </c>
      <c r="K74" s="11">
        <f t="shared" si="7"/>
        <v>0</v>
      </c>
      <c r="L74" s="39">
        <f t="shared" si="9"/>
        <v>45121.961960347049</v>
      </c>
      <c r="M74" s="11">
        <f t="shared" si="11"/>
        <v>1604.706439098788</v>
      </c>
      <c r="N74" s="102">
        <f t="shared" si="4"/>
        <v>230844.80397254147</v>
      </c>
      <c r="O74" s="103">
        <f t="shared" si="5"/>
        <v>-25744.976880054892</v>
      </c>
      <c r="P74" s="103">
        <f t="shared" si="8"/>
        <v>2263105.1195640774</v>
      </c>
      <c r="Q74" s="10"/>
    </row>
    <row r="75" spans="1:17">
      <c r="A75" s="114">
        <f t="shared" si="13"/>
        <v>2039</v>
      </c>
      <c r="B75" s="114">
        <f t="shared" si="13"/>
        <v>80</v>
      </c>
      <c r="C75" s="11">
        <v>0</v>
      </c>
      <c r="D75" s="11">
        <v>0</v>
      </c>
      <c r="E75" s="11">
        <f t="shared" si="12"/>
        <v>42575.270897621798</v>
      </c>
      <c r="F75" s="11">
        <f t="shared" si="10"/>
        <v>27226.615047392021</v>
      </c>
      <c r="G75" s="103">
        <f t="shared" si="6"/>
        <v>135786.30717384463</v>
      </c>
      <c r="H75" s="11">
        <v>0</v>
      </c>
      <c r="I75" s="15">
        <f t="shared" si="2"/>
        <v>205588.19311885844</v>
      </c>
      <c r="J75" s="11">
        <f t="shared" si="3"/>
        <v>189641.67964028852</v>
      </c>
      <c r="K75" s="11">
        <f t="shared" si="7"/>
        <v>0</v>
      </c>
      <c r="L75" s="39">
        <f t="shared" si="9"/>
        <v>45229.402486148858</v>
      </c>
      <c r="M75" s="11">
        <f t="shared" si="11"/>
        <v>1652.8476322717518</v>
      </c>
      <c r="N75" s="102">
        <f t="shared" si="4"/>
        <v>236523.92975870916</v>
      </c>
      <c r="O75" s="103">
        <f t="shared" si="5"/>
        <v>-30935.736639850715</v>
      </c>
      <c r="P75" s="103">
        <f t="shared" si="8"/>
        <v>2232169.3829242266</v>
      </c>
      <c r="Q75" s="10"/>
    </row>
    <row r="76" spans="1:17">
      <c r="A76" s="114">
        <f t="shared" si="13"/>
        <v>2040</v>
      </c>
      <c r="B76" s="114">
        <f t="shared" si="13"/>
        <v>81</v>
      </c>
      <c r="C76" s="11">
        <v>0</v>
      </c>
      <c r="D76" s="11">
        <v>0</v>
      </c>
      <c r="E76" s="11">
        <f t="shared" si="12"/>
        <v>43852.529024550451</v>
      </c>
      <c r="F76" s="11">
        <f t="shared" si="10"/>
        <v>28043.413498813781</v>
      </c>
      <c r="G76" s="103">
        <f t="shared" si="6"/>
        <v>133930.1629754536</v>
      </c>
      <c r="H76" s="11">
        <v>0</v>
      </c>
      <c r="I76" s="15">
        <f t="shared" si="2"/>
        <v>205826.10549881784</v>
      </c>
      <c r="J76" s="11">
        <f t="shared" si="3"/>
        <v>195330.93002949719</v>
      </c>
      <c r="K76" s="11">
        <f t="shared" si="7"/>
        <v>0</v>
      </c>
      <c r="L76" s="39">
        <f t="shared" si="9"/>
        <v>45281.743209739921</v>
      </c>
      <c r="M76" s="11">
        <f t="shared" si="11"/>
        <v>1702.4330612399044</v>
      </c>
      <c r="N76" s="102">
        <f t="shared" si="4"/>
        <v>242315.106300477</v>
      </c>
      <c r="O76" s="103">
        <f t="shared" si="5"/>
        <v>-36489.00080165916</v>
      </c>
      <c r="P76" s="103">
        <f t="shared" si="8"/>
        <v>2195680.3821225674</v>
      </c>
      <c r="Q76" s="105"/>
    </row>
    <row r="77" spans="1:17">
      <c r="A77" s="114">
        <f t="shared" si="13"/>
        <v>2041</v>
      </c>
      <c r="B77" s="114">
        <f t="shared" si="13"/>
        <v>82</v>
      </c>
      <c r="C77" s="11">
        <v>0</v>
      </c>
      <c r="D77" s="11">
        <v>0</v>
      </c>
      <c r="E77" s="11">
        <f t="shared" si="12"/>
        <v>45168.104895286968</v>
      </c>
      <c r="F77" s="11">
        <f t="shared" si="10"/>
        <v>28884.715903778197</v>
      </c>
      <c r="G77" s="103">
        <f t="shared" si="6"/>
        <v>131740.82292735405</v>
      </c>
      <c r="H77" s="11">
        <v>0</v>
      </c>
      <c r="I77" s="15">
        <f t="shared" si="2"/>
        <v>205793.64372641922</v>
      </c>
      <c r="J77" s="11">
        <f t="shared" si="3"/>
        <v>201190.8579303821</v>
      </c>
      <c r="K77" s="11">
        <v>0</v>
      </c>
      <c r="L77" s="39">
        <f t="shared" si="9"/>
        <v>45274.601619812231</v>
      </c>
      <c r="M77" s="11">
        <f t="shared" si="11"/>
        <v>1753.5060530771016</v>
      </c>
      <c r="N77" s="102">
        <f t="shared" si="4"/>
        <v>248218.96560327144</v>
      </c>
      <c r="O77" s="103">
        <f t="shared" si="5"/>
        <v>-42425.32187685222</v>
      </c>
      <c r="P77" s="103">
        <f t="shared" si="8"/>
        <v>2153255.0602457151</v>
      </c>
      <c r="Q77" s="10"/>
    </row>
    <row r="78" spans="1:17">
      <c r="A78" s="114">
        <f t="shared" si="13"/>
        <v>2042</v>
      </c>
      <c r="B78" s="114">
        <f t="shared" si="13"/>
        <v>83</v>
      </c>
      <c r="C78" s="11">
        <v>0</v>
      </c>
      <c r="D78" s="11">
        <v>0</v>
      </c>
      <c r="E78" s="11">
        <f t="shared" si="12"/>
        <v>46523.148042145578</v>
      </c>
      <c r="F78" s="11">
        <f t="shared" si="10"/>
        <v>29751.257380891544</v>
      </c>
      <c r="G78" s="103">
        <f t="shared" si="6"/>
        <v>129195.30361474289</v>
      </c>
      <c r="H78" s="11">
        <v>0</v>
      </c>
      <c r="I78" s="15">
        <f t="shared" si="2"/>
        <v>205469.70903778001</v>
      </c>
      <c r="J78" s="11">
        <f t="shared" si="3"/>
        <v>207226.58366829358</v>
      </c>
      <c r="K78" s="11">
        <v>0</v>
      </c>
      <c r="L78" s="39">
        <f t="shared" si="9"/>
        <v>45203.335988311599</v>
      </c>
      <c r="M78" s="11">
        <f t="shared" si="11"/>
        <v>1806.1112346694147</v>
      </c>
      <c r="N78" s="102">
        <f t="shared" si="4"/>
        <v>254236.0308912746</v>
      </c>
      <c r="O78" s="103">
        <f t="shared" si="5"/>
        <v>-48766.321853494592</v>
      </c>
      <c r="P78" s="103">
        <f t="shared" si="8"/>
        <v>2104488.7383922203</v>
      </c>
      <c r="Q78" s="10"/>
    </row>
    <row r="79" spans="1:17">
      <c r="A79" s="114">
        <f t="shared" si="13"/>
        <v>2043</v>
      </c>
      <c r="B79" s="114">
        <f t="shared" si="13"/>
        <v>84</v>
      </c>
      <c r="C79" s="11">
        <v>0</v>
      </c>
      <c r="D79" s="11">
        <v>0</v>
      </c>
      <c r="E79" s="11">
        <f t="shared" si="12"/>
        <v>47918.84248340995</v>
      </c>
      <c r="F79" s="11">
        <f t="shared" si="10"/>
        <v>30643.79510231829</v>
      </c>
      <c r="G79" s="103">
        <f t="shared" si="6"/>
        <v>126269.32430353321</v>
      </c>
      <c r="H79" s="11">
        <v>0</v>
      </c>
      <c r="I79" s="15">
        <f t="shared" si="2"/>
        <v>204831.96188926144</v>
      </c>
      <c r="J79" s="11">
        <f t="shared" si="3"/>
        <v>213443.38117834239</v>
      </c>
      <c r="K79" s="11">
        <v>0</v>
      </c>
      <c r="L79" s="39">
        <f t="shared" si="9"/>
        <v>45063.031615637519</v>
      </c>
      <c r="M79" s="11">
        <f t="shared" si="11"/>
        <v>1860.2945717094972</v>
      </c>
      <c r="N79" s="102">
        <f t="shared" si="4"/>
        <v>260366.70736568942</v>
      </c>
      <c r="O79" s="103">
        <f t="shared" si="5"/>
        <v>-55534.745476427983</v>
      </c>
      <c r="P79" s="103">
        <f t="shared" si="8"/>
        <v>2048953.9929157924</v>
      </c>
      <c r="Q79" s="10"/>
    </row>
    <row r="80" spans="1:17">
      <c r="A80" s="114">
        <f t="shared" si="13"/>
        <v>2044</v>
      </c>
      <c r="B80" s="114">
        <f t="shared" si="13"/>
        <v>85</v>
      </c>
      <c r="C80" s="11">
        <v>0</v>
      </c>
      <c r="D80" s="11">
        <v>0</v>
      </c>
      <c r="E80" s="11">
        <f t="shared" si="12"/>
        <v>49356.407757912246</v>
      </c>
      <c r="F80" s="11">
        <f t="shared" si="10"/>
        <v>31563.108955387841</v>
      </c>
      <c r="G80" s="103">
        <f t="shared" si="6"/>
        <v>122937.23957494754</v>
      </c>
      <c r="H80" s="11">
        <v>0</v>
      </c>
      <c r="I80" s="15">
        <f t="shared" si="2"/>
        <v>203856.75628824762</v>
      </c>
      <c r="J80" s="11">
        <f t="shared" si="3"/>
        <v>219846.68261369265</v>
      </c>
      <c r="K80" s="11">
        <v>0</v>
      </c>
      <c r="L80" s="39">
        <f t="shared" si="9"/>
        <v>44848.486383414478</v>
      </c>
      <c r="M80" s="11">
        <f t="shared" si="11"/>
        <v>1916.1034088607821</v>
      </c>
      <c r="N80" s="102">
        <f t="shared" si="4"/>
        <v>266611.27240596793</v>
      </c>
      <c r="O80" s="103">
        <f t="shared" si="5"/>
        <v>-62754.516117720312</v>
      </c>
      <c r="P80" s="103">
        <f t="shared" si="8"/>
        <v>1986199.476798072</v>
      </c>
      <c r="Q80" s="10"/>
    </row>
    <row r="81" spans="1:17">
      <c r="A81" s="114">
        <f t="shared" si="13"/>
        <v>2045</v>
      </c>
      <c r="B81" s="114">
        <f t="shared" si="13"/>
        <v>86</v>
      </c>
      <c r="C81" s="11">
        <v>0</v>
      </c>
      <c r="D81" s="11">
        <v>0</v>
      </c>
      <c r="E81" s="11">
        <f t="shared" si="12"/>
        <v>50837.099990649614</v>
      </c>
      <c r="F81" s="11">
        <f t="shared" si="10"/>
        <v>32510.002224049476</v>
      </c>
      <c r="G81" s="103">
        <f t="shared" si="6"/>
        <v>119171.96860788431</v>
      </c>
      <c r="H81" s="11">
        <v>0</v>
      </c>
      <c r="I81" s="15">
        <f t="shared" si="2"/>
        <v>202519.0708225834</v>
      </c>
      <c r="J81" s="11">
        <f t="shared" si="3"/>
        <v>226442.08309210345</v>
      </c>
      <c r="K81" s="11">
        <v>0</v>
      </c>
      <c r="L81" s="39">
        <f t="shared" si="9"/>
        <v>44554.19558096835</v>
      </c>
      <c r="M81" s="11">
        <f t="shared" si="11"/>
        <v>1973.5865111266057</v>
      </c>
      <c r="N81" s="102">
        <f t="shared" si="4"/>
        <v>272969.86518419842</v>
      </c>
      <c r="O81" s="103">
        <f t="shared" si="5"/>
        <v>-70450.79436161503</v>
      </c>
      <c r="P81" s="103">
        <f t="shared" si="8"/>
        <v>1915748.6824364569</v>
      </c>
      <c r="Q81" s="10"/>
    </row>
    <row r="82" spans="1:17">
      <c r="A82" s="114">
        <f t="shared" si="13"/>
        <v>2046</v>
      </c>
      <c r="B82" s="114">
        <f t="shared" si="13"/>
        <v>87</v>
      </c>
      <c r="C82" s="11">
        <v>0</v>
      </c>
      <c r="D82" s="11">
        <v>0</v>
      </c>
      <c r="E82" s="11">
        <f t="shared" si="12"/>
        <v>52362.212990369102</v>
      </c>
      <c r="F82" s="11">
        <f t="shared" si="10"/>
        <v>33485.30229077096</v>
      </c>
      <c r="G82" s="103">
        <f t="shared" si="6"/>
        <v>114944.92094618741</v>
      </c>
      <c r="H82" s="11">
        <v>0</v>
      </c>
      <c r="I82" s="15">
        <f t="shared" si="2"/>
        <v>200792.43622732747</v>
      </c>
      <c r="J82" s="11">
        <f t="shared" si="3"/>
        <v>233235.34558486656</v>
      </c>
      <c r="K82" s="11">
        <v>0</v>
      </c>
      <c r="L82" s="39">
        <f t="shared" si="9"/>
        <v>44174.335970012042</v>
      </c>
      <c r="M82" s="11">
        <f t="shared" si="11"/>
        <v>2032.794106460404</v>
      </c>
      <c r="N82" s="102">
        <f t="shared" si="4"/>
        <v>279442.47566133901</v>
      </c>
      <c r="O82" s="103">
        <f t="shared" si="5"/>
        <v>-78650.039434011531</v>
      </c>
      <c r="P82" s="103">
        <f t="shared" si="8"/>
        <v>1837098.6430024453</v>
      </c>
      <c r="Q82" s="10"/>
    </row>
    <row r="83" spans="1:17">
      <c r="A83" s="114">
        <f t="shared" si="13"/>
        <v>2047</v>
      </c>
      <c r="B83" s="114">
        <f t="shared" si="13"/>
        <v>88</v>
      </c>
      <c r="C83" s="11">
        <v>0</v>
      </c>
      <c r="D83" s="11">
        <v>0</v>
      </c>
      <c r="E83" s="11">
        <f t="shared" si="12"/>
        <v>53933.079380080177</v>
      </c>
      <c r="F83" s="11">
        <f t="shared" si="10"/>
        <v>34489.861359494091</v>
      </c>
      <c r="G83" s="103">
        <f t="shared" si="6"/>
        <v>110225.91858014671</v>
      </c>
      <c r="H83" s="11">
        <v>0</v>
      </c>
      <c r="I83" s="15">
        <f t="shared" si="2"/>
        <v>198648.85931972097</v>
      </c>
      <c r="J83" s="11">
        <f t="shared" si="3"/>
        <v>240232.40595241258</v>
      </c>
      <c r="K83" s="11">
        <v>0</v>
      </c>
      <c r="L83" s="39">
        <f t="shared" si="9"/>
        <v>43702.749050338614</v>
      </c>
      <c r="M83" s="11">
        <f t="shared" si="11"/>
        <v>2093.7779296542162</v>
      </c>
      <c r="N83" s="102">
        <f t="shared" si="4"/>
        <v>286028.93293240544</v>
      </c>
      <c r="O83" s="103">
        <f t="shared" si="5"/>
        <v>-87380.073612684471</v>
      </c>
      <c r="P83" s="103">
        <f t="shared" si="8"/>
        <v>1749718.569389761</v>
      </c>
      <c r="Q83" s="10"/>
    </row>
    <row r="84" spans="1:17">
      <c r="A84" s="114">
        <f t="shared" si="13"/>
        <v>2048</v>
      </c>
      <c r="B84" s="114">
        <f t="shared" si="13"/>
        <v>89</v>
      </c>
      <c r="C84" s="11">
        <v>0</v>
      </c>
      <c r="D84" s="11">
        <v>0</v>
      </c>
      <c r="E84" s="11">
        <f t="shared" si="12"/>
        <v>55551.071761482584</v>
      </c>
      <c r="F84" s="11">
        <f t="shared" si="10"/>
        <v>35524.557200278912</v>
      </c>
      <c r="G84" s="103">
        <f t="shared" si="6"/>
        <v>104983.11416338566</v>
      </c>
      <c r="H84" s="11">
        <v>0</v>
      </c>
      <c r="I84" s="15">
        <f t="shared" si="2"/>
        <v>196058.74312514716</v>
      </c>
      <c r="J84" s="11">
        <f t="shared" si="3"/>
        <v>247439.37813098496</v>
      </c>
      <c r="K84" s="11">
        <v>0</v>
      </c>
      <c r="L84" s="39">
        <f t="shared" si="9"/>
        <v>43132.923487532375</v>
      </c>
      <c r="M84" s="11">
        <f t="shared" si="11"/>
        <v>2156.5912675438426</v>
      </c>
      <c r="N84" s="102">
        <f t="shared" si="4"/>
        <v>292728.89288606116</v>
      </c>
      <c r="O84" s="103">
        <f t="shared" si="5"/>
        <v>-96670.149760914006</v>
      </c>
      <c r="P84" s="103">
        <f t="shared" si="8"/>
        <v>1653048.4196288469</v>
      </c>
      <c r="Q84" s="10"/>
    </row>
    <row r="85" spans="1:17">
      <c r="A85" s="114">
        <f t="shared" si="13"/>
        <v>2049</v>
      </c>
      <c r="B85" s="114">
        <f t="shared" si="13"/>
        <v>90</v>
      </c>
      <c r="C85" s="11">
        <v>0</v>
      </c>
      <c r="D85" s="11">
        <v>0</v>
      </c>
      <c r="E85" s="11">
        <f t="shared" si="12"/>
        <v>57217.603914327061</v>
      </c>
      <c r="F85" s="11">
        <f t="shared" si="10"/>
        <v>36590.293916287279</v>
      </c>
      <c r="G85" s="103">
        <f t="shared" si="6"/>
        <v>99182.905177730805</v>
      </c>
      <c r="H85" s="11">
        <v>0</v>
      </c>
      <c r="I85" s="15">
        <f t="shared" si="2"/>
        <v>192990.80300834513</v>
      </c>
      <c r="J85" s="11">
        <f t="shared" si="3"/>
        <v>254862.55947491451</v>
      </c>
      <c r="K85" s="11">
        <v>0</v>
      </c>
      <c r="L85" s="39">
        <f t="shared" si="9"/>
        <v>42457.976661835928</v>
      </c>
      <c r="M85" s="11">
        <f t="shared" si="11"/>
        <v>2221.2890055701578</v>
      </c>
      <c r="N85" s="102">
        <f t="shared" si="4"/>
        <v>299541.82514232059</v>
      </c>
      <c r="O85" s="103">
        <f t="shared" si="5"/>
        <v>-106551.02213397546</v>
      </c>
      <c r="P85" s="103">
        <f t="shared" si="8"/>
        <v>1546497.3974948714</v>
      </c>
      <c r="Q85" s="105"/>
    </row>
    <row r="86" spans="1:17">
      <c r="A86" s="114">
        <f t="shared" si="13"/>
        <v>2050</v>
      </c>
      <c r="B86" s="114">
        <f t="shared" si="13"/>
        <v>91</v>
      </c>
      <c r="C86" s="11">
        <v>0</v>
      </c>
      <c r="D86" s="11">
        <v>0</v>
      </c>
      <c r="E86" s="11">
        <f t="shared" si="12"/>
        <v>58934.132031756875</v>
      </c>
      <c r="F86" s="11">
        <f t="shared" si="10"/>
        <v>37688.002733775895</v>
      </c>
      <c r="G86" s="103">
        <f t="shared" si="6"/>
        <v>92789.843849692275</v>
      </c>
      <c r="H86" s="11">
        <v>0</v>
      </c>
      <c r="I86" s="15">
        <f t="shared" si="2"/>
        <v>189411.97861522506</v>
      </c>
      <c r="J86" s="11">
        <f t="shared" si="3"/>
        <v>262508.43625916197</v>
      </c>
      <c r="K86" s="11">
        <v>0</v>
      </c>
      <c r="L86" s="39">
        <f t="shared" si="9"/>
        <v>41670.635295349515</v>
      </c>
      <c r="M86" s="106">
        <v>50000</v>
      </c>
      <c r="N86" s="102">
        <f t="shared" si="4"/>
        <v>354179.07155451149</v>
      </c>
      <c r="O86" s="103">
        <f t="shared" si="5"/>
        <v>-164767.09293928643</v>
      </c>
      <c r="P86" s="103">
        <f t="shared" si="8"/>
        <v>1381730.3045555849</v>
      </c>
      <c r="Q86" s="88" t="s">
        <v>28</v>
      </c>
    </row>
    <row r="87" spans="1:17">
      <c r="A87" s="114">
        <f t="shared" si="13"/>
        <v>2051</v>
      </c>
      <c r="B87" s="114">
        <f t="shared" si="13"/>
        <v>92</v>
      </c>
      <c r="C87" s="11">
        <v>0</v>
      </c>
      <c r="D87" s="11">
        <v>0</v>
      </c>
      <c r="E87" s="11">
        <f t="shared" si="12"/>
        <v>60702.15599270958</v>
      </c>
      <c r="F87" s="11">
        <f t="shared" si="10"/>
        <v>38818.642815789171</v>
      </c>
      <c r="G87" s="103">
        <f t="shared" si="6"/>
        <v>82903.818273335099</v>
      </c>
      <c r="H87" s="11">
        <v>0</v>
      </c>
      <c r="I87" s="15">
        <f t="shared" si="2"/>
        <v>182424.61708183383</v>
      </c>
      <c r="J87" s="11">
        <f t="shared" si="3"/>
        <v>270383.68934693682</v>
      </c>
      <c r="K87" s="11">
        <v>0</v>
      </c>
      <c r="L87" s="39">
        <f t="shared" si="9"/>
        <v>40133.415758003444</v>
      </c>
      <c r="M87" s="11">
        <f t="shared" si="11"/>
        <v>51500</v>
      </c>
      <c r="N87" s="102">
        <f t="shared" si="4"/>
        <v>362017.10510494024</v>
      </c>
      <c r="O87" s="103">
        <f t="shared" si="5"/>
        <v>-179592.48802310642</v>
      </c>
      <c r="P87" s="103">
        <f t="shared" si="8"/>
        <v>1202137.8165324784</v>
      </c>
      <c r="Q87" s="10"/>
    </row>
    <row r="88" spans="1:17">
      <c r="A88" s="114">
        <f t="shared" ref="A88:B95" si="14">A87+1</f>
        <v>2052</v>
      </c>
      <c r="B88" s="114">
        <f t="shared" si="14"/>
        <v>93</v>
      </c>
      <c r="C88" s="11">
        <v>0</v>
      </c>
      <c r="D88" s="11">
        <v>0</v>
      </c>
      <c r="E88" s="11">
        <f t="shared" si="12"/>
        <v>62523.220672490868</v>
      </c>
      <c r="F88" s="11">
        <f t="shared" si="10"/>
        <v>39983.202100262846</v>
      </c>
      <c r="G88" s="103">
        <f t="shared" si="6"/>
        <v>72128.268991948702</v>
      </c>
      <c r="H88" s="11">
        <v>0</v>
      </c>
      <c r="I88" s="15">
        <f t="shared" si="2"/>
        <v>174634.69176470244</v>
      </c>
      <c r="J88" s="11">
        <f t="shared" si="3"/>
        <v>278495.20002734492</v>
      </c>
      <c r="K88" s="11">
        <v>0</v>
      </c>
      <c r="L88" s="39">
        <f t="shared" si="9"/>
        <v>38419.632188234536</v>
      </c>
      <c r="M88" s="11">
        <f t="shared" si="11"/>
        <v>53045</v>
      </c>
      <c r="N88" s="102">
        <f t="shared" si="4"/>
        <v>369959.83221557946</v>
      </c>
      <c r="O88" s="103">
        <f t="shared" si="5"/>
        <v>-195325.14045087702</v>
      </c>
      <c r="P88" s="103">
        <f t="shared" si="8"/>
        <v>1006812.6760816014</v>
      </c>
      <c r="Q88" s="10"/>
    </row>
    <row r="89" spans="1:17">
      <c r="A89" s="114">
        <f t="shared" si="14"/>
        <v>2053</v>
      </c>
      <c r="B89" s="114">
        <f t="shared" si="14"/>
        <v>94</v>
      </c>
      <c r="C89" s="11">
        <v>0</v>
      </c>
      <c r="D89" s="11">
        <v>0</v>
      </c>
      <c r="E89" s="11">
        <f t="shared" si="12"/>
        <v>64398.917292665596</v>
      </c>
      <c r="F89" s="11">
        <f t="shared" si="10"/>
        <v>41182.698163270732</v>
      </c>
      <c r="G89" s="103">
        <f t="shared" si="6"/>
        <v>60408.760564896082</v>
      </c>
      <c r="H89" s="11">
        <v>0</v>
      </c>
      <c r="I89" s="15">
        <f t="shared" si="2"/>
        <v>165990.37602083239</v>
      </c>
      <c r="J89" s="11">
        <f t="shared" si="3"/>
        <v>286850.05602816527</v>
      </c>
      <c r="K89" s="11">
        <v>0</v>
      </c>
      <c r="L89" s="39">
        <f t="shared" si="9"/>
        <v>36517.882724583127</v>
      </c>
      <c r="M89" s="11">
        <f t="shared" si="11"/>
        <v>54636.35</v>
      </c>
      <c r="N89" s="102">
        <f t="shared" si="4"/>
        <v>378004.2887527484</v>
      </c>
      <c r="O89" s="103">
        <f t="shared" si="5"/>
        <v>-212013.912731916</v>
      </c>
      <c r="P89" s="103">
        <f t="shared" si="8"/>
        <v>794798.76334968535</v>
      </c>
      <c r="Q89" s="10"/>
    </row>
    <row r="90" spans="1:17">
      <c r="A90" s="114">
        <f t="shared" si="14"/>
        <v>2054</v>
      </c>
      <c r="B90" s="114">
        <f t="shared" si="14"/>
        <v>95</v>
      </c>
      <c r="C90" s="11">
        <v>0</v>
      </c>
      <c r="D90" s="11">
        <v>0</v>
      </c>
      <c r="E90" s="11">
        <f t="shared" si="12"/>
        <v>66330.884811445561</v>
      </c>
      <c r="F90" s="11">
        <f t="shared" si="10"/>
        <v>42418.179108168857</v>
      </c>
      <c r="G90" s="103">
        <f t="shared" si="6"/>
        <v>47687.925800981116</v>
      </c>
      <c r="H90" s="11">
        <v>0</v>
      </c>
      <c r="I90" s="15">
        <f t="shared" si="2"/>
        <v>156436.98972059553</v>
      </c>
      <c r="J90" s="11">
        <f t="shared" si="3"/>
        <v>295455.55770901026</v>
      </c>
      <c r="K90" s="11">
        <v>0</v>
      </c>
      <c r="L90" s="39">
        <f t="shared" si="9"/>
        <v>34416.137738531019</v>
      </c>
      <c r="M90" s="11">
        <f t="shared" si="11"/>
        <v>56275.440499999997</v>
      </c>
      <c r="N90" s="102">
        <f t="shared" si="4"/>
        <v>386147.13594754133</v>
      </c>
      <c r="O90" s="103">
        <f t="shared" si="5"/>
        <v>-229710.1462269458</v>
      </c>
      <c r="P90" s="103">
        <f t="shared" si="8"/>
        <v>565088.61712273955</v>
      </c>
      <c r="Q90" s="10"/>
    </row>
    <row r="91" spans="1:17">
      <c r="A91" s="114">
        <f t="shared" si="14"/>
        <v>2055</v>
      </c>
      <c r="B91" s="114">
        <f t="shared" si="14"/>
        <v>96</v>
      </c>
      <c r="C91" s="11">
        <v>0</v>
      </c>
      <c r="D91" s="11">
        <v>0</v>
      </c>
      <c r="E91" s="11">
        <f t="shared" si="12"/>
        <v>68320.81135578893</v>
      </c>
      <c r="F91" s="11">
        <f t="shared" si="10"/>
        <v>43690.724481413927</v>
      </c>
      <c r="G91" s="103">
        <f t="shared" si="6"/>
        <v>33905.31702736437</v>
      </c>
      <c r="H91" s="11">
        <v>0</v>
      </c>
      <c r="I91" s="15">
        <f t="shared" si="2"/>
        <v>145916.85286456722</v>
      </c>
      <c r="J91" s="11">
        <f t="shared" si="3"/>
        <v>304319.22444028058</v>
      </c>
      <c r="K91" s="11">
        <v>0</v>
      </c>
      <c r="L91" s="39">
        <f t="shared" si="9"/>
        <v>32101.70763020479</v>
      </c>
      <c r="M91" s="11">
        <f t="shared" si="11"/>
        <v>57963.703714999996</v>
      </c>
      <c r="N91" s="102">
        <f t="shared" si="4"/>
        <v>394384.63578548538</v>
      </c>
      <c r="O91" s="103">
        <f t="shared" si="5"/>
        <v>-248467.78292091817</v>
      </c>
      <c r="P91" s="103">
        <f t="shared" si="8"/>
        <v>316620.83420182136</v>
      </c>
      <c r="Q91" s="89"/>
    </row>
    <row r="92" spans="1:17">
      <c r="A92" s="114">
        <f t="shared" si="14"/>
        <v>2056</v>
      </c>
      <c r="B92" s="114">
        <f t="shared" si="14"/>
        <v>97</v>
      </c>
      <c r="C92" s="11">
        <v>0</v>
      </c>
      <c r="D92" s="11">
        <v>0</v>
      </c>
      <c r="E92" s="11">
        <f t="shared" si="12"/>
        <v>70370.435696462606</v>
      </c>
      <c r="F92" s="11">
        <f t="shared" si="10"/>
        <v>45001.446215856347</v>
      </c>
      <c r="G92" s="103">
        <f>IF(P91&gt;0,P91*G$52,0)</f>
        <v>18997.250052109281</v>
      </c>
      <c r="H92" s="11">
        <v>0</v>
      </c>
      <c r="I92" s="15">
        <f t="shared" si="2"/>
        <v>134369.13196442823</v>
      </c>
      <c r="J92" s="11">
        <f t="shared" si="3"/>
        <v>313448.80117348902</v>
      </c>
      <c r="K92" s="11">
        <v>0</v>
      </c>
      <c r="L92" s="39">
        <f t="shared" si="9"/>
        <v>29561.209032174211</v>
      </c>
      <c r="M92" s="11">
        <f t="shared" si="11"/>
        <v>59702.614826450001</v>
      </c>
      <c r="N92" s="102">
        <f>SUM(J92:M92)</f>
        <v>402712.62503211322</v>
      </c>
      <c r="O92" s="103">
        <f>I92-N92</f>
        <v>-268343.49306768499</v>
      </c>
      <c r="P92" s="103">
        <f>P91+O92</f>
        <v>48277.341134136368</v>
      </c>
      <c r="Q92" s="89"/>
    </row>
    <row r="93" spans="1:17" s="54" customFormat="1">
      <c r="A93" s="114">
        <f t="shared" si="14"/>
        <v>2057</v>
      </c>
      <c r="B93" s="114">
        <f t="shared" si="14"/>
        <v>98</v>
      </c>
      <c r="C93" s="11">
        <v>0</v>
      </c>
      <c r="D93" s="11">
        <v>0</v>
      </c>
      <c r="E93" s="11">
        <f t="shared" si="12"/>
        <v>72481.548767356493</v>
      </c>
      <c r="F93" s="11">
        <f t="shared" si="10"/>
        <v>46351.48960233204</v>
      </c>
      <c r="G93" s="103">
        <f>IF(P92&gt;0,P92*G$52,0)</f>
        <v>2896.6404680481819</v>
      </c>
      <c r="H93" s="11">
        <v>0</v>
      </c>
      <c r="I93" s="15">
        <f t="shared" si="2"/>
        <v>121729.6788377367</v>
      </c>
      <c r="J93" s="11">
        <f t="shared" si="3"/>
        <v>322852.26520869369</v>
      </c>
      <c r="K93" s="11">
        <v>0</v>
      </c>
      <c r="L93" s="39">
        <f t="shared" si="9"/>
        <v>26780.529344302075</v>
      </c>
      <c r="M93" s="11">
        <f t="shared" si="11"/>
        <v>61493.693271243501</v>
      </c>
      <c r="N93" s="102">
        <f>SUM(J93:M93)</f>
        <v>411126.48782423924</v>
      </c>
      <c r="O93" s="103">
        <f>I93-N93</f>
        <v>-289396.80898650252</v>
      </c>
      <c r="P93" s="103">
        <f>P92+O93</f>
        <v>-241119.46785236616</v>
      </c>
      <c r="Q93" s="89"/>
    </row>
    <row r="94" spans="1:17" s="54" customFormat="1">
      <c r="A94" s="114">
        <f t="shared" si="14"/>
        <v>2058</v>
      </c>
      <c r="B94" s="114">
        <f t="shared" si="14"/>
        <v>99</v>
      </c>
      <c r="C94" s="11">
        <v>0</v>
      </c>
      <c r="D94" s="11">
        <v>0</v>
      </c>
      <c r="E94" s="11">
        <f t="shared" si="12"/>
        <v>74655.995230377186</v>
      </c>
      <c r="F94" s="11">
        <f t="shared" si="10"/>
        <v>47742.034290402</v>
      </c>
      <c r="G94" s="103">
        <f>IF(P93&gt;0,P93*G$52,0)</f>
        <v>0</v>
      </c>
      <c r="H94" s="11">
        <v>0</v>
      </c>
      <c r="I94" s="15">
        <f t="shared" si="2"/>
        <v>122398.02952077918</v>
      </c>
      <c r="J94" s="11">
        <f t="shared" si="3"/>
        <v>332537.8331649545</v>
      </c>
      <c r="K94" s="11">
        <v>0</v>
      </c>
      <c r="L94" s="39">
        <f t="shared" si="9"/>
        <v>26927.56649457142</v>
      </c>
      <c r="M94" s="11">
        <f t="shared" si="11"/>
        <v>63338.504069380804</v>
      </c>
      <c r="N94" s="102">
        <f>SUM(J94:M94)</f>
        <v>422803.90372890671</v>
      </c>
      <c r="O94" s="103">
        <f>I94-N94</f>
        <v>-300405.8742081275</v>
      </c>
      <c r="P94" s="103">
        <f>P93+O94</f>
        <v>-541525.34206049365</v>
      </c>
      <c r="Q94" s="89"/>
    </row>
    <row r="95" spans="1:17" s="54" customFormat="1">
      <c r="A95" s="114">
        <f t="shared" si="14"/>
        <v>2059</v>
      </c>
      <c r="B95" s="114">
        <f t="shared" si="14"/>
        <v>100</v>
      </c>
      <c r="C95" s="11">
        <v>0</v>
      </c>
      <c r="D95" s="11">
        <v>0</v>
      </c>
      <c r="E95" s="11">
        <f t="shared" si="12"/>
        <v>76895.675087288502</v>
      </c>
      <c r="F95" s="11">
        <f t="shared" si="10"/>
        <v>49174.295319114062</v>
      </c>
      <c r="G95" s="103">
        <f>IF(P94&gt;0,P94*G$52,0)</f>
        <v>0</v>
      </c>
      <c r="H95" s="11">
        <v>0</v>
      </c>
      <c r="I95" s="15">
        <f>SUM(C95:H95)</f>
        <v>126069.97040640257</v>
      </c>
      <c r="J95" s="11">
        <f t="shared" si="3"/>
        <v>342513.96815990313</v>
      </c>
      <c r="K95" s="11">
        <v>0</v>
      </c>
      <c r="L95" s="39">
        <f>I95*L$52</f>
        <v>27735.393489408565</v>
      </c>
      <c r="M95" s="11">
        <f t="shared" si="11"/>
        <v>65238.659191462233</v>
      </c>
      <c r="N95" s="102">
        <f>SUM(J95:M95)</f>
        <v>435488.02084077388</v>
      </c>
      <c r="O95" s="103">
        <f>I95-N95</f>
        <v>-309418.05043437134</v>
      </c>
      <c r="P95" s="103">
        <f>P94+O95</f>
        <v>-850943.39249486499</v>
      </c>
      <c r="Q95" s="89"/>
    </row>
    <row r="96" spans="1:17" s="54" customFormat="1">
      <c r="A96" s="10"/>
      <c r="B96" s="13"/>
      <c r="C96" s="11"/>
      <c r="D96" s="11"/>
      <c r="E96" s="11"/>
      <c r="F96" s="11"/>
      <c r="G96" s="103"/>
      <c r="H96" s="11"/>
      <c r="I96" s="72"/>
      <c r="J96" s="12"/>
      <c r="K96" s="11"/>
      <c r="L96" s="39"/>
      <c r="M96" s="12"/>
      <c r="N96" s="12"/>
      <c r="O96" s="103"/>
      <c r="P96" s="103"/>
      <c r="Q96" s="89"/>
    </row>
    <row r="97" spans="1:17">
      <c r="A97" s="136"/>
      <c r="B97" s="136"/>
      <c r="C97" s="136"/>
      <c r="D97" s="136"/>
      <c r="E97" s="136"/>
      <c r="F97" s="136"/>
      <c r="G97" s="136"/>
      <c r="H97" s="136"/>
      <c r="I97" s="136"/>
      <c r="J97" s="136"/>
      <c r="K97" s="136"/>
      <c r="L97" s="136"/>
      <c r="M97" s="136"/>
      <c r="N97" s="136"/>
      <c r="O97" s="136"/>
      <c r="P97" s="139"/>
      <c r="Q97" s="139"/>
    </row>
    <row r="98" spans="1:17">
      <c r="A98" s="54"/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</row>
    <row r="99" spans="1:17">
      <c r="A99" s="54"/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</row>
    <row r="100" spans="1:17">
      <c r="A100" s="54"/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</row>
  </sheetData>
  <sheetCalcPr fullCalcOnLoad="1"/>
  <mergeCells count="4">
    <mergeCell ref="A46:Q46"/>
    <mergeCell ref="A97:Q97"/>
    <mergeCell ref="A1:Q1"/>
    <mergeCell ref="A50:Q50"/>
  </mergeCells>
  <phoneticPr fontId="2" type="noConversion"/>
  <pageMargins left="0.5" right="0.25" top="1.25" bottom="0.25" header="0.5" footer="0.5"/>
  <rowBreaks count="2" manualBreakCount="2">
    <brk id="47" max="16383" man="1"/>
    <brk id="101" max="16383" man="1" pt="1"/>
  </rowBreaks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Q107"/>
  <sheetViews>
    <sheetView zoomScale="125" workbookViewId="0">
      <selection sqref="A1:Q1"/>
    </sheetView>
  </sheetViews>
  <sheetFormatPr baseColWidth="10" defaultRowHeight="13"/>
  <cols>
    <col min="1" max="1" width="7.5703125" customWidth="1"/>
    <col min="2" max="2" width="6.140625" customWidth="1"/>
    <col min="3" max="14" width="8.28515625" customWidth="1"/>
    <col min="15" max="15" width="9" customWidth="1"/>
    <col min="16" max="16" width="10.5703125" customWidth="1"/>
    <col min="17" max="17" width="15.5703125" customWidth="1"/>
  </cols>
  <sheetData>
    <row r="1" spans="1:17" ht="18">
      <c r="A1" s="131" t="s">
        <v>52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2"/>
      <c r="P1" s="138"/>
      <c r="Q1" s="138"/>
    </row>
    <row r="2" spans="1:17">
      <c r="L2" s="2"/>
    </row>
    <row r="3" spans="1:17" ht="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7" ht="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7" ht="1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7" ht="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7" ht="1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7" ht="1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7" ht="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7" ht="1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7" ht="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7" ht="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7" ht="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7" ht="1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7" ht="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7" ht="1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ht="1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ht="1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ht="1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ht="1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ht="1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ht="1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ht="1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ht="1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 ht="1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3" ht="1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 ht="1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 ht="1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ht="1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 ht="1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3" ht="1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ht="1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7" ht="1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7" ht="1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 spans="1:17" ht="1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1:17" ht="1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1:17" ht="1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1:17" ht="1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 spans="1:17" ht="1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 spans="1:17" ht="1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7" ht="1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7" ht="1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</row>
    <row r="43" spans="1:17">
      <c r="J43" s="2"/>
      <c r="L43" s="5"/>
    </row>
    <row r="44" spans="1:17">
      <c r="J44" s="2"/>
      <c r="L44" s="5"/>
    </row>
    <row r="45" spans="1:17">
      <c r="J45" s="2"/>
      <c r="L45" s="5"/>
    </row>
    <row r="46" spans="1:17">
      <c r="A46" s="133"/>
      <c r="B46" s="133"/>
      <c r="C46" s="133"/>
      <c r="D46" s="133"/>
      <c r="E46" s="133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7"/>
      <c r="Q46" s="137"/>
    </row>
    <row r="47" spans="1:17">
      <c r="J47" s="2"/>
      <c r="L47" s="5"/>
    </row>
    <row r="48" spans="1:17">
      <c r="J48" s="2"/>
      <c r="L48" s="5"/>
    </row>
    <row r="49" spans="1:17">
      <c r="A49" s="17"/>
      <c r="J49" s="2"/>
      <c r="L49" s="5"/>
    </row>
    <row r="50" spans="1:17" ht="18">
      <c r="A50" s="135" t="str">
        <f>A1</f>
        <v>Scenario 5: John and Jane both retire at age 70.</v>
      </c>
      <c r="B50" s="135"/>
      <c r="C50" s="135"/>
      <c r="D50" s="135"/>
      <c r="E50" s="135"/>
      <c r="F50" s="135"/>
      <c r="G50" s="135"/>
      <c r="H50" s="135"/>
      <c r="I50" s="135"/>
      <c r="J50" s="135"/>
      <c r="K50" s="135"/>
      <c r="L50" s="135"/>
      <c r="M50" s="135"/>
      <c r="N50" s="135"/>
      <c r="O50" s="136"/>
      <c r="P50" s="139"/>
      <c r="Q50" s="139"/>
    </row>
    <row r="51" spans="1:17">
      <c r="A51" s="89"/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108"/>
      <c r="M51" s="89"/>
      <c r="N51" s="5"/>
      <c r="O51" s="89"/>
      <c r="P51" s="89"/>
      <c r="Q51" s="89"/>
    </row>
    <row r="52" spans="1:17">
      <c r="A52" s="49"/>
      <c r="B52" s="91" t="s">
        <v>199</v>
      </c>
      <c r="C52" s="95">
        <v>0.03</v>
      </c>
      <c r="D52" s="95">
        <v>0.03</v>
      </c>
      <c r="E52" s="95">
        <v>0.03</v>
      </c>
      <c r="F52" s="95">
        <v>0.03</v>
      </c>
      <c r="G52" s="96">
        <v>0.06</v>
      </c>
      <c r="H52" s="95">
        <v>0.03</v>
      </c>
      <c r="I52" s="92"/>
      <c r="J52" s="95">
        <v>0.03</v>
      </c>
      <c r="K52" s="95"/>
      <c r="L52" s="97">
        <v>0.22</v>
      </c>
      <c r="M52" s="95">
        <v>0.03</v>
      </c>
      <c r="N52" s="98"/>
      <c r="O52" s="98"/>
      <c r="P52" s="89"/>
      <c r="Q52" s="89"/>
    </row>
    <row r="53" spans="1:17" s="54" customFormat="1">
      <c r="A53" s="49"/>
      <c r="B53" s="91"/>
      <c r="C53" s="92"/>
      <c r="D53" s="92"/>
      <c r="E53" s="92"/>
      <c r="F53" s="99"/>
      <c r="G53" s="96"/>
      <c r="H53" s="99"/>
      <c r="I53" s="92"/>
      <c r="J53" s="99"/>
      <c r="K53" s="100"/>
      <c r="L53" s="99"/>
      <c r="M53" s="99"/>
      <c r="N53" s="98"/>
      <c r="O53" s="98"/>
      <c r="P53" s="6" t="s">
        <v>53</v>
      </c>
      <c r="Q53" s="89"/>
    </row>
    <row r="54" spans="1:17">
      <c r="A54" s="7" t="s">
        <v>54</v>
      </c>
      <c r="B54" s="16" t="s">
        <v>200</v>
      </c>
      <c r="C54" s="9" t="s">
        <v>11</v>
      </c>
      <c r="D54" s="9" t="s">
        <v>13</v>
      </c>
      <c r="E54" s="73" t="s">
        <v>14</v>
      </c>
      <c r="F54" s="9" t="s">
        <v>15</v>
      </c>
      <c r="G54" s="6" t="s">
        <v>16</v>
      </c>
      <c r="H54" s="9" t="s">
        <v>17</v>
      </c>
      <c r="I54" s="14" t="s">
        <v>18</v>
      </c>
      <c r="J54" s="9" t="s">
        <v>19</v>
      </c>
      <c r="K54" s="9" t="s">
        <v>20</v>
      </c>
      <c r="L54" s="9" t="s">
        <v>21</v>
      </c>
      <c r="M54" s="9" t="s">
        <v>22</v>
      </c>
      <c r="N54" s="14" t="s">
        <v>23</v>
      </c>
      <c r="O54" s="9" t="s">
        <v>24</v>
      </c>
      <c r="P54" s="6" t="s">
        <v>25</v>
      </c>
      <c r="Q54" s="8" t="s">
        <v>43</v>
      </c>
    </row>
    <row r="55" spans="1:17">
      <c r="A55" s="114">
        <v>2019</v>
      </c>
      <c r="B55" s="101">
        <f>A55-1959</f>
        <v>60</v>
      </c>
      <c r="C55" s="11">
        <f>IncExp!G4</f>
        <v>120000</v>
      </c>
      <c r="D55" s="11">
        <f>IncExp!G5</f>
        <v>90000</v>
      </c>
      <c r="E55" s="39">
        <v>0</v>
      </c>
      <c r="F55" s="11">
        <v>0</v>
      </c>
      <c r="G55" s="39">
        <f>IncExp!G7</f>
        <v>70000</v>
      </c>
      <c r="H55" s="11">
        <v>0</v>
      </c>
      <c r="I55" s="15">
        <f>SUM(C55:H55)</f>
        <v>280000</v>
      </c>
      <c r="J55" s="11">
        <f>RecExp!G42</f>
        <v>105000</v>
      </c>
      <c r="K55" s="11">
        <f>IncExp!C12</f>
        <v>24000</v>
      </c>
      <c r="L55" s="11">
        <f>IncExp!C45</f>
        <v>71000</v>
      </c>
      <c r="M55" s="39">
        <f>IncExp!G25</f>
        <v>5000</v>
      </c>
      <c r="N55" s="102">
        <f>SUM(J55:M55)</f>
        <v>205000</v>
      </c>
      <c r="O55" s="103">
        <f>I55-N55</f>
        <v>75000</v>
      </c>
      <c r="P55" s="11">
        <f>BalSht!G31</f>
        <v>1700000</v>
      </c>
      <c r="Q55" s="88" t="s">
        <v>26</v>
      </c>
    </row>
    <row r="56" spans="1:17">
      <c r="A56" s="114">
        <f t="shared" ref="A56:B71" si="0">A55+1</f>
        <v>2020</v>
      </c>
      <c r="B56" s="114">
        <f t="shared" si="0"/>
        <v>61</v>
      </c>
      <c r="C56" s="11">
        <f t="shared" ref="C56:C64" si="1">C55*(1+C$52)</f>
        <v>123600</v>
      </c>
      <c r="D56" s="11">
        <f t="shared" ref="D56:D64" si="2">D55*(1+D$52)</f>
        <v>92700</v>
      </c>
      <c r="E56" s="39">
        <v>0</v>
      </c>
      <c r="F56" s="11">
        <f>F55*F$52</f>
        <v>0</v>
      </c>
      <c r="G56" s="104">
        <f>IF(P55&gt;0,P55*G$52,0)</f>
        <v>102000</v>
      </c>
      <c r="H56" s="11">
        <v>0</v>
      </c>
      <c r="I56" s="15">
        <f t="shared" ref="I56:I94" si="3">SUM(C56:H56)</f>
        <v>318300</v>
      </c>
      <c r="J56" s="11">
        <f t="shared" ref="J56:J95" si="4">J55*(1+J$52)</f>
        <v>108150</v>
      </c>
      <c r="K56" s="11">
        <f>K55</f>
        <v>24000</v>
      </c>
      <c r="L56" s="39">
        <f>I56*L$52</f>
        <v>70026</v>
      </c>
      <c r="M56" s="12">
        <f>M55</f>
        <v>5000</v>
      </c>
      <c r="N56" s="102">
        <f t="shared" ref="N56:N91" si="5">SUM(J56:M56)</f>
        <v>207176</v>
      </c>
      <c r="O56" s="103">
        <f t="shared" ref="O56:O91" si="6">I56-N56</f>
        <v>111124</v>
      </c>
      <c r="P56" s="103">
        <f>P55+O56</f>
        <v>1811124</v>
      </c>
      <c r="Q56" s="88"/>
    </row>
    <row r="57" spans="1:17">
      <c r="A57" s="114">
        <f t="shared" si="0"/>
        <v>2021</v>
      </c>
      <c r="B57" s="114">
        <f t="shared" si="0"/>
        <v>62</v>
      </c>
      <c r="C57" s="11">
        <f t="shared" si="1"/>
        <v>127308</v>
      </c>
      <c r="D57" s="11">
        <f t="shared" si="2"/>
        <v>95481</v>
      </c>
      <c r="E57" s="39">
        <v>0</v>
      </c>
      <c r="F57" s="11">
        <f t="shared" ref="F57:F64" si="7">F56*F$52</f>
        <v>0</v>
      </c>
      <c r="G57" s="103">
        <f t="shared" ref="G57:G91" si="8">IF(P56&gt;0,P56*G$52,0)</f>
        <v>108667.44</v>
      </c>
      <c r="H57" s="11">
        <v>0</v>
      </c>
      <c r="I57" s="15">
        <f t="shared" si="3"/>
        <v>331456.44</v>
      </c>
      <c r="J57" s="11">
        <f t="shared" si="4"/>
        <v>111394.5</v>
      </c>
      <c r="K57" s="11">
        <f t="shared" ref="K57:K76" si="9">K56</f>
        <v>24000</v>
      </c>
      <c r="L57" s="39">
        <f>I57*L$52</f>
        <v>72920.416800000006</v>
      </c>
      <c r="M57" s="11">
        <f t="shared" ref="M57:M65" si="10">M56*(1+M$52)</f>
        <v>5150</v>
      </c>
      <c r="N57" s="102">
        <f t="shared" si="5"/>
        <v>213464.91680000001</v>
      </c>
      <c r="O57" s="103">
        <f t="shared" si="6"/>
        <v>117991.5232</v>
      </c>
      <c r="P57" s="103">
        <f t="shared" ref="P57:P91" si="11">P56+O57</f>
        <v>1929115.5231999999</v>
      </c>
      <c r="Q57" s="89"/>
    </row>
    <row r="58" spans="1:17">
      <c r="A58" s="114">
        <f t="shared" si="0"/>
        <v>2022</v>
      </c>
      <c r="B58" s="114">
        <f t="shared" si="0"/>
        <v>63</v>
      </c>
      <c r="C58" s="11">
        <f t="shared" si="1"/>
        <v>131127.24</v>
      </c>
      <c r="D58" s="11">
        <f t="shared" si="2"/>
        <v>98345.430000000008</v>
      </c>
      <c r="E58" s="39">
        <v>0</v>
      </c>
      <c r="F58" s="11">
        <f t="shared" si="7"/>
        <v>0</v>
      </c>
      <c r="G58" s="103">
        <f t="shared" si="8"/>
        <v>115746.931392</v>
      </c>
      <c r="H58" s="11">
        <v>0</v>
      </c>
      <c r="I58" s="15">
        <f t="shared" si="3"/>
        <v>345219.60139199998</v>
      </c>
      <c r="J58" s="11">
        <f t="shared" si="4"/>
        <v>114736.33500000001</v>
      </c>
      <c r="K58" s="11">
        <f t="shared" si="9"/>
        <v>24000</v>
      </c>
      <c r="L58" s="39">
        <f t="shared" ref="L58:L94" si="12">I58*L$52</f>
        <v>75948.312306239997</v>
      </c>
      <c r="M58" s="11">
        <f t="shared" si="10"/>
        <v>5304.5</v>
      </c>
      <c r="N58" s="102">
        <f t="shared" si="5"/>
        <v>219989.14730624002</v>
      </c>
      <c r="O58" s="103">
        <f t="shared" si="6"/>
        <v>125230.45408575996</v>
      </c>
      <c r="P58" s="103">
        <f t="shared" si="11"/>
        <v>2054345.97728576</v>
      </c>
      <c r="Q58" s="89"/>
    </row>
    <row r="59" spans="1:17">
      <c r="A59" s="114">
        <f t="shared" si="0"/>
        <v>2023</v>
      </c>
      <c r="B59" s="114">
        <f t="shared" si="0"/>
        <v>64</v>
      </c>
      <c r="C59" s="11">
        <f t="shared" si="1"/>
        <v>135061.05719999998</v>
      </c>
      <c r="D59" s="11">
        <f t="shared" si="2"/>
        <v>101295.79290000001</v>
      </c>
      <c r="E59" s="39">
        <v>0</v>
      </c>
      <c r="F59" s="11">
        <f t="shared" si="7"/>
        <v>0</v>
      </c>
      <c r="G59" s="103">
        <f t="shared" si="8"/>
        <v>123260.7586371456</v>
      </c>
      <c r="H59" s="11">
        <v>0</v>
      </c>
      <c r="I59" s="15">
        <f t="shared" si="3"/>
        <v>359617.60873714555</v>
      </c>
      <c r="J59" s="11">
        <f t="shared" si="4"/>
        <v>118178.42505000001</v>
      </c>
      <c r="K59" s="11">
        <f t="shared" si="9"/>
        <v>24000</v>
      </c>
      <c r="L59" s="39">
        <f t="shared" si="12"/>
        <v>79115.873922172017</v>
      </c>
      <c r="M59" s="11">
        <f t="shared" si="10"/>
        <v>5463.6350000000002</v>
      </c>
      <c r="N59" s="102">
        <f t="shared" si="5"/>
        <v>226757.93397217203</v>
      </c>
      <c r="O59" s="103">
        <f t="shared" si="6"/>
        <v>132859.67476497352</v>
      </c>
      <c r="P59" s="103">
        <f t="shared" si="11"/>
        <v>2187205.6520507336</v>
      </c>
      <c r="Q59" s="89"/>
    </row>
    <row r="60" spans="1:17">
      <c r="A60" s="114">
        <f t="shared" si="0"/>
        <v>2024</v>
      </c>
      <c r="B60" s="114">
        <f t="shared" si="0"/>
        <v>65</v>
      </c>
      <c r="C60" s="11">
        <f t="shared" si="1"/>
        <v>139112.888916</v>
      </c>
      <c r="D60" s="11">
        <f t="shared" si="2"/>
        <v>104334.66668700002</v>
      </c>
      <c r="E60" s="39">
        <v>0</v>
      </c>
      <c r="F60" s="11">
        <f t="shared" si="7"/>
        <v>0</v>
      </c>
      <c r="G60" s="103">
        <f t="shared" si="8"/>
        <v>131232.33912304402</v>
      </c>
      <c r="H60" s="11">
        <v>0</v>
      </c>
      <c r="I60" s="15">
        <f t="shared" si="3"/>
        <v>374679.89472604403</v>
      </c>
      <c r="J60" s="11">
        <f t="shared" si="4"/>
        <v>121723.77780150001</v>
      </c>
      <c r="K60" s="11">
        <f t="shared" si="9"/>
        <v>24000</v>
      </c>
      <c r="L60" s="39">
        <f t="shared" si="12"/>
        <v>82429.576839729692</v>
      </c>
      <c r="M60" s="11">
        <f t="shared" si="10"/>
        <v>5627.5440500000004</v>
      </c>
      <c r="N60" s="102">
        <f t="shared" si="5"/>
        <v>233780.89869122967</v>
      </c>
      <c r="O60" s="103">
        <f t="shared" si="6"/>
        <v>140898.99603481436</v>
      </c>
      <c r="P60" s="103">
        <f t="shared" si="11"/>
        <v>2328104.6480855481</v>
      </c>
      <c r="Q60" s="89"/>
    </row>
    <row r="61" spans="1:17">
      <c r="A61" s="114">
        <f t="shared" si="0"/>
        <v>2025</v>
      </c>
      <c r="B61" s="114">
        <f t="shared" si="0"/>
        <v>66</v>
      </c>
      <c r="C61" s="11">
        <f t="shared" si="1"/>
        <v>143286.27558347999</v>
      </c>
      <c r="D61" s="11">
        <f t="shared" si="2"/>
        <v>107464.70668761003</v>
      </c>
      <c r="E61" s="39">
        <v>0</v>
      </c>
      <c r="F61" s="11">
        <f t="shared" si="7"/>
        <v>0</v>
      </c>
      <c r="G61" s="103">
        <f t="shared" si="8"/>
        <v>139686.27888513287</v>
      </c>
      <c r="H61" s="11">
        <v>0</v>
      </c>
      <c r="I61" s="15">
        <f t="shared" si="3"/>
        <v>390437.2611562229</v>
      </c>
      <c r="J61" s="11">
        <f t="shared" si="4"/>
        <v>125375.49113554502</v>
      </c>
      <c r="K61" s="11">
        <f t="shared" si="9"/>
        <v>24000</v>
      </c>
      <c r="L61" s="39">
        <f t="shared" si="12"/>
        <v>85896.197454369045</v>
      </c>
      <c r="M61" s="11">
        <f t="shared" si="10"/>
        <v>5796.3703715000001</v>
      </c>
      <c r="N61" s="102">
        <f t="shared" si="5"/>
        <v>241068.05896141406</v>
      </c>
      <c r="O61" s="103">
        <f t="shared" si="6"/>
        <v>149369.20219480884</v>
      </c>
      <c r="P61" s="103">
        <f t="shared" si="11"/>
        <v>2477473.8502803571</v>
      </c>
      <c r="Q61" s="89"/>
    </row>
    <row r="62" spans="1:17">
      <c r="A62" s="114">
        <f t="shared" si="0"/>
        <v>2026</v>
      </c>
      <c r="B62" s="114">
        <f t="shared" si="0"/>
        <v>67</v>
      </c>
      <c r="C62" s="11">
        <f t="shared" si="1"/>
        <v>147584.8638509844</v>
      </c>
      <c r="D62" s="11">
        <f t="shared" si="2"/>
        <v>110688.64788823834</v>
      </c>
      <c r="E62" s="39">
        <v>0</v>
      </c>
      <c r="F62" s="11">
        <f t="shared" si="7"/>
        <v>0</v>
      </c>
      <c r="G62" s="103">
        <f t="shared" si="8"/>
        <v>148648.43101682141</v>
      </c>
      <c r="H62" s="11">
        <v>0</v>
      </c>
      <c r="I62" s="15">
        <f t="shared" si="3"/>
        <v>406921.94275604415</v>
      </c>
      <c r="J62" s="11">
        <f t="shared" si="4"/>
        <v>129136.75586961137</v>
      </c>
      <c r="K62" s="11">
        <f t="shared" si="9"/>
        <v>24000</v>
      </c>
      <c r="L62" s="39">
        <f t="shared" si="12"/>
        <v>89522.827406329714</v>
      </c>
      <c r="M62" s="11">
        <f t="shared" si="10"/>
        <v>5970.2614826449999</v>
      </c>
      <c r="N62" s="102">
        <f t="shared" si="5"/>
        <v>248629.84475858608</v>
      </c>
      <c r="O62" s="103">
        <f t="shared" si="6"/>
        <v>158292.09799745807</v>
      </c>
      <c r="P62" s="103">
        <f t="shared" si="11"/>
        <v>2635765.9482778152</v>
      </c>
      <c r="Q62" s="89"/>
    </row>
    <row r="63" spans="1:17">
      <c r="A63" s="114">
        <f t="shared" si="0"/>
        <v>2027</v>
      </c>
      <c r="B63" s="114">
        <f t="shared" si="0"/>
        <v>68</v>
      </c>
      <c r="C63" s="11">
        <f t="shared" si="1"/>
        <v>152012.40976651394</v>
      </c>
      <c r="D63" s="11">
        <f t="shared" si="2"/>
        <v>114009.30732488549</v>
      </c>
      <c r="E63" s="39">
        <v>0</v>
      </c>
      <c r="F63" s="11">
        <f t="shared" si="7"/>
        <v>0</v>
      </c>
      <c r="G63" s="103">
        <f t="shared" si="8"/>
        <v>158145.95689666891</v>
      </c>
      <c r="H63" s="11">
        <v>0</v>
      </c>
      <c r="I63" s="15">
        <f t="shared" si="3"/>
        <v>424167.67398806836</v>
      </c>
      <c r="J63" s="11">
        <f t="shared" si="4"/>
        <v>133010.85854569971</v>
      </c>
      <c r="K63" s="11">
        <f t="shared" si="9"/>
        <v>24000</v>
      </c>
      <c r="L63" s="39">
        <f t="shared" si="12"/>
        <v>93316.888277375037</v>
      </c>
      <c r="M63" s="11">
        <f t="shared" si="10"/>
        <v>6149.3693271243501</v>
      </c>
      <c r="N63" s="102">
        <f t="shared" si="5"/>
        <v>256477.11615019912</v>
      </c>
      <c r="O63" s="103">
        <f t="shared" si="6"/>
        <v>167690.55783786924</v>
      </c>
      <c r="P63" s="103">
        <f t="shared" si="11"/>
        <v>2803456.5061156843</v>
      </c>
      <c r="Q63" s="89"/>
    </row>
    <row r="64" spans="1:17">
      <c r="A64" s="114">
        <f t="shared" si="0"/>
        <v>2028</v>
      </c>
      <c r="B64" s="114">
        <f t="shared" si="0"/>
        <v>69</v>
      </c>
      <c r="C64" s="11">
        <f t="shared" si="1"/>
        <v>156572.78205950937</v>
      </c>
      <c r="D64" s="11">
        <f t="shared" si="2"/>
        <v>117429.58654463205</v>
      </c>
      <c r="E64" s="39">
        <v>0</v>
      </c>
      <c r="F64" s="11">
        <f t="shared" si="7"/>
        <v>0</v>
      </c>
      <c r="G64" s="103">
        <f t="shared" si="8"/>
        <v>168207.39036694105</v>
      </c>
      <c r="H64" s="11">
        <v>0</v>
      </c>
      <c r="I64" s="15">
        <f t="shared" si="3"/>
        <v>442209.75897108245</v>
      </c>
      <c r="J64" s="11">
        <f t="shared" si="4"/>
        <v>137001.1843020707</v>
      </c>
      <c r="K64" s="11">
        <f t="shared" si="9"/>
        <v>24000</v>
      </c>
      <c r="L64" s="39">
        <f t="shared" si="12"/>
        <v>97286.14697363814</v>
      </c>
      <c r="M64" s="11">
        <f t="shared" si="10"/>
        <v>6333.8504069380806</v>
      </c>
      <c r="N64" s="102">
        <f t="shared" si="5"/>
        <v>264621.18168264691</v>
      </c>
      <c r="O64" s="103">
        <f t="shared" si="6"/>
        <v>177588.57728843554</v>
      </c>
      <c r="P64" s="103">
        <f t="shared" si="11"/>
        <v>2981045.0834041201</v>
      </c>
      <c r="Q64" s="89"/>
    </row>
    <row r="65" spans="1:17">
      <c r="A65" s="114">
        <f t="shared" si="0"/>
        <v>2029</v>
      </c>
      <c r="B65" s="114">
        <f t="shared" si="0"/>
        <v>70</v>
      </c>
      <c r="C65" s="11">
        <v>0</v>
      </c>
      <c r="D65" s="11">
        <v>0</v>
      </c>
      <c r="E65" s="11">
        <f>2000*1.32*12</f>
        <v>31680</v>
      </c>
      <c r="F65" s="11">
        <f>1500*1.32*12</f>
        <v>23760</v>
      </c>
      <c r="G65" s="103">
        <f t="shared" si="8"/>
        <v>178862.7050042472</v>
      </c>
      <c r="H65" s="11">
        <v>0</v>
      </c>
      <c r="I65" s="15">
        <f t="shared" si="3"/>
        <v>234302.7050042472</v>
      </c>
      <c r="J65" s="11">
        <f t="shared" si="4"/>
        <v>141111.21983113282</v>
      </c>
      <c r="K65" s="11">
        <f t="shared" si="9"/>
        <v>24000</v>
      </c>
      <c r="L65" s="39">
        <f t="shared" si="12"/>
        <v>51546.595100934384</v>
      </c>
      <c r="M65" s="11">
        <f t="shared" si="10"/>
        <v>6523.865919146223</v>
      </c>
      <c r="N65" s="102">
        <f t="shared" si="5"/>
        <v>223181.68085121343</v>
      </c>
      <c r="O65" s="103">
        <f t="shared" si="6"/>
        <v>11121.024153033766</v>
      </c>
      <c r="P65" s="103">
        <f t="shared" si="11"/>
        <v>2992166.1075571538</v>
      </c>
      <c r="Q65" s="89"/>
    </row>
    <row r="66" spans="1:17">
      <c r="A66" s="114">
        <f t="shared" si="0"/>
        <v>2030</v>
      </c>
      <c r="B66" s="114">
        <f t="shared" si="0"/>
        <v>71</v>
      </c>
      <c r="C66" s="11">
        <v>0</v>
      </c>
      <c r="D66" s="11">
        <v>0</v>
      </c>
      <c r="E66" s="11">
        <f t="shared" ref="E66:F95" si="13">E65*(1+E$52)</f>
        <v>32630.400000000001</v>
      </c>
      <c r="F66" s="11">
        <f t="shared" si="13"/>
        <v>24472.799999999999</v>
      </c>
      <c r="G66" s="103">
        <f t="shared" si="8"/>
        <v>179529.96645342922</v>
      </c>
      <c r="H66" s="11">
        <v>0</v>
      </c>
      <c r="I66" s="15">
        <f t="shared" si="3"/>
        <v>236633.16645342921</v>
      </c>
      <c r="J66" s="11">
        <f t="shared" si="4"/>
        <v>145344.55642606682</v>
      </c>
      <c r="K66" s="11">
        <f t="shared" si="9"/>
        <v>24000</v>
      </c>
      <c r="L66" s="39">
        <f t="shared" si="12"/>
        <v>52059.296619754423</v>
      </c>
      <c r="M66" s="106">
        <f>M65*(1+M$52)*10</f>
        <v>67195.818967206098</v>
      </c>
      <c r="N66" s="102">
        <f t="shared" si="5"/>
        <v>288599.67201302736</v>
      </c>
      <c r="O66" s="103">
        <f t="shared" si="6"/>
        <v>-51966.505559598154</v>
      </c>
      <c r="P66" s="103">
        <f t="shared" si="11"/>
        <v>2940199.6019975557</v>
      </c>
      <c r="Q66" s="89" t="s">
        <v>134</v>
      </c>
    </row>
    <row r="67" spans="1:17">
      <c r="A67" s="114">
        <f t="shared" si="0"/>
        <v>2031</v>
      </c>
      <c r="B67" s="114">
        <f t="shared" si="0"/>
        <v>72</v>
      </c>
      <c r="C67" s="11">
        <v>0</v>
      </c>
      <c r="D67" s="11">
        <v>0</v>
      </c>
      <c r="E67" s="11">
        <f t="shared" si="13"/>
        <v>33609.312000000005</v>
      </c>
      <c r="F67" s="11">
        <f t="shared" si="13"/>
        <v>25206.984</v>
      </c>
      <c r="G67" s="103">
        <f t="shared" si="8"/>
        <v>176411.97611985332</v>
      </c>
      <c r="H67" s="11">
        <v>0</v>
      </c>
      <c r="I67" s="15">
        <f t="shared" si="3"/>
        <v>235228.27211985333</v>
      </c>
      <c r="J67" s="11">
        <f t="shared" si="4"/>
        <v>149704.89311884882</v>
      </c>
      <c r="K67" s="11">
        <f t="shared" si="9"/>
        <v>24000</v>
      </c>
      <c r="L67" s="39">
        <f t="shared" si="12"/>
        <v>51750.219866367734</v>
      </c>
      <c r="M67" s="106">
        <f t="shared" ref="M67:M95" si="14">M66*(1+M$52)</f>
        <v>69211.693536222287</v>
      </c>
      <c r="N67" s="102">
        <f t="shared" si="5"/>
        <v>294666.80652143882</v>
      </c>
      <c r="O67" s="103">
        <f t="shared" si="6"/>
        <v>-59438.534401585493</v>
      </c>
      <c r="P67" s="103">
        <f t="shared" si="11"/>
        <v>2880761.0675959704</v>
      </c>
      <c r="Q67" s="89" t="s">
        <v>134</v>
      </c>
    </row>
    <row r="68" spans="1:17">
      <c r="A68" s="114">
        <f t="shared" si="0"/>
        <v>2032</v>
      </c>
      <c r="B68" s="114">
        <f t="shared" si="0"/>
        <v>73</v>
      </c>
      <c r="C68" s="11">
        <v>0</v>
      </c>
      <c r="D68" s="11">
        <v>0</v>
      </c>
      <c r="E68" s="11">
        <f t="shared" si="13"/>
        <v>34617.591360000006</v>
      </c>
      <c r="F68" s="11">
        <f t="shared" si="13"/>
        <v>25963.193520000001</v>
      </c>
      <c r="G68" s="103">
        <f t="shared" si="8"/>
        <v>172845.66405575821</v>
      </c>
      <c r="H68" s="11">
        <v>0</v>
      </c>
      <c r="I68" s="15">
        <f t="shared" si="3"/>
        <v>233426.44893575821</v>
      </c>
      <c r="J68" s="11">
        <f t="shared" si="4"/>
        <v>154196.0399124143</v>
      </c>
      <c r="K68" s="11">
        <f t="shared" si="9"/>
        <v>24000</v>
      </c>
      <c r="L68" s="39">
        <f t="shared" si="12"/>
        <v>51353.818765866803</v>
      </c>
      <c r="M68" s="106">
        <f t="shared" si="14"/>
        <v>71288.04434230896</v>
      </c>
      <c r="N68" s="102">
        <f t="shared" si="5"/>
        <v>300837.90302059008</v>
      </c>
      <c r="O68" s="103">
        <f t="shared" si="6"/>
        <v>-67411.454084831872</v>
      </c>
      <c r="P68" s="103">
        <f t="shared" si="11"/>
        <v>2813349.6135111386</v>
      </c>
      <c r="Q68" s="89" t="s">
        <v>134</v>
      </c>
    </row>
    <row r="69" spans="1:17">
      <c r="A69" s="114">
        <f t="shared" si="0"/>
        <v>2033</v>
      </c>
      <c r="B69" s="114">
        <f t="shared" si="0"/>
        <v>74</v>
      </c>
      <c r="C69" s="11">
        <v>0</v>
      </c>
      <c r="D69" s="11">
        <v>0</v>
      </c>
      <c r="E69" s="11">
        <f t="shared" si="13"/>
        <v>35656.11910080001</v>
      </c>
      <c r="F69" s="11">
        <f t="shared" si="13"/>
        <v>26742.089325600002</v>
      </c>
      <c r="G69" s="103">
        <f t="shared" si="8"/>
        <v>168800.9768106683</v>
      </c>
      <c r="H69" s="11">
        <v>0</v>
      </c>
      <c r="I69" s="15">
        <f t="shared" si="3"/>
        <v>231199.18523706833</v>
      </c>
      <c r="J69" s="11">
        <f t="shared" si="4"/>
        <v>158821.92110978672</v>
      </c>
      <c r="K69" s="11">
        <f t="shared" si="9"/>
        <v>24000</v>
      </c>
      <c r="L69" s="39">
        <f t="shared" si="12"/>
        <v>50863.820752155036</v>
      </c>
      <c r="M69" s="11">
        <f>M68*(1+M$52)/10</f>
        <v>7342.6685672578224</v>
      </c>
      <c r="N69" s="102">
        <f t="shared" si="5"/>
        <v>241028.41042919958</v>
      </c>
      <c r="O69" s="103">
        <f t="shared" si="6"/>
        <v>-9829.2251921312418</v>
      </c>
      <c r="P69" s="103">
        <f t="shared" si="11"/>
        <v>2803520.3883190071</v>
      </c>
      <c r="Q69" s="89"/>
    </row>
    <row r="70" spans="1:17">
      <c r="A70" s="114">
        <f t="shared" si="0"/>
        <v>2034</v>
      </c>
      <c r="B70" s="114">
        <f t="shared" si="0"/>
        <v>75</v>
      </c>
      <c r="C70" s="11">
        <v>0</v>
      </c>
      <c r="D70" s="11">
        <v>0</v>
      </c>
      <c r="E70" s="11">
        <f t="shared" si="13"/>
        <v>36725.802673824008</v>
      </c>
      <c r="F70" s="11">
        <f t="shared" si="13"/>
        <v>27544.352005368004</v>
      </c>
      <c r="G70" s="103">
        <f t="shared" si="8"/>
        <v>168211.22329914043</v>
      </c>
      <c r="H70" s="11">
        <v>0</v>
      </c>
      <c r="I70" s="15">
        <f t="shared" si="3"/>
        <v>232481.37797833246</v>
      </c>
      <c r="J70" s="11">
        <f t="shared" si="4"/>
        <v>163586.57874308032</v>
      </c>
      <c r="K70" s="11">
        <f t="shared" si="9"/>
        <v>24000</v>
      </c>
      <c r="L70" s="39">
        <f t="shared" si="12"/>
        <v>51145.903155233143</v>
      </c>
      <c r="M70" s="11">
        <f t="shared" si="14"/>
        <v>7562.9486242755574</v>
      </c>
      <c r="N70" s="102">
        <f t="shared" si="5"/>
        <v>246295.43052258901</v>
      </c>
      <c r="O70" s="103">
        <f t="shared" si="6"/>
        <v>-13814.052544256556</v>
      </c>
      <c r="P70" s="103">
        <f t="shared" si="11"/>
        <v>2789706.3357747504</v>
      </c>
      <c r="Q70" s="89"/>
    </row>
    <row r="71" spans="1:17">
      <c r="A71" s="114">
        <f t="shared" si="0"/>
        <v>2035</v>
      </c>
      <c r="B71" s="114">
        <f t="shared" si="0"/>
        <v>76</v>
      </c>
      <c r="C71" s="11">
        <v>0</v>
      </c>
      <c r="D71" s="11">
        <v>0</v>
      </c>
      <c r="E71" s="11">
        <f t="shared" si="13"/>
        <v>37827.576754038731</v>
      </c>
      <c r="F71" s="11">
        <f t="shared" si="13"/>
        <v>28370.682565529045</v>
      </c>
      <c r="G71" s="103">
        <f t="shared" si="8"/>
        <v>167382.38014648503</v>
      </c>
      <c r="H71" s="11">
        <v>0</v>
      </c>
      <c r="I71" s="15">
        <f t="shared" si="3"/>
        <v>233580.63946605282</v>
      </c>
      <c r="J71" s="11">
        <f t="shared" si="4"/>
        <v>168494.17610537272</v>
      </c>
      <c r="K71" s="11">
        <f t="shared" si="9"/>
        <v>24000</v>
      </c>
      <c r="L71" s="39">
        <f t="shared" si="12"/>
        <v>51387.740682531621</v>
      </c>
      <c r="M71" s="11">
        <f t="shared" si="14"/>
        <v>7789.8370830038248</v>
      </c>
      <c r="N71" s="102">
        <f t="shared" si="5"/>
        <v>251671.75387090817</v>
      </c>
      <c r="O71" s="103">
        <f t="shared" si="6"/>
        <v>-18091.114404855354</v>
      </c>
      <c r="P71" s="103">
        <f t="shared" si="11"/>
        <v>2771615.2213698952</v>
      </c>
      <c r="Q71" s="10"/>
    </row>
    <row r="72" spans="1:17">
      <c r="A72" s="114">
        <f t="shared" ref="A72:B87" si="15">A71+1</f>
        <v>2036</v>
      </c>
      <c r="B72" s="114">
        <f t="shared" si="15"/>
        <v>77</v>
      </c>
      <c r="C72" s="11">
        <v>0</v>
      </c>
      <c r="D72" s="11">
        <v>0</v>
      </c>
      <c r="E72" s="11">
        <f t="shared" si="13"/>
        <v>38962.404056659892</v>
      </c>
      <c r="F72" s="11">
        <f t="shared" si="13"/>
        <v>29221.803042494917</v>
      </c>
      <c r="G72" s="103">
        <f t="shared" si="8"/>
        <v>166296.91328219371</v>
      </c>
      <c r="H72" s="11">
        <v>0</v>
      </c>
      <c r="I72" s="15">
        <f t="shared" si="3"/>
        <v>234481.12038134853</v>
      </c>
      <c r="J72" s="11">
        <f t="shared" si="4"/>
        <v>173549.00138853391</v>
      </c>
      <c r="K72" s="106">
        <v>0</v>
      </c>
      <c r="L72" s="39">
        <f t="shared" si="12"/>
        <v>51585.846483896676</v>
      </c>
      <c r="M72" s="39">
        <f>M71/5</f>
        <v>1557.9674166007649</v>
      </c>
      <c r="N72" s="102">
        <f t="shared" si="5"/>
        <v>226692.81528903134</v>
      </c>
      <c r="O72" s="103">
        <f t="shared" si="6"/>
        <v>7788.3050923171977</v>
      </c>
      <c r="P72" s="103">
        <f t="shared" si="11"/>
        <v>2779403.5264622122</v>
      </c>
      <c r="Q72" s="105" t="s">
        <v>27</v>
      </c>
    </row>
    <row r="73" spans="1:17">
      <c r="A73" s="114">
        <f t="shared" si="15"/>
        <v>2037</v>
      </c>
      <c r="B73" s="114">
        <f t="shared" si="15"/>
        <v>78</v>
      </c>
      <c r="C73" s="11">
        <v>0</v>
      </c>
      <c r="D73" s="11">
        <v>0</v>
      </c>
      <c r="E73" s="11">
        <f t="shared" si="13"/>
        <v>40131.276178359687</v>
      </c>
      <c r="F73" s="11">
        <f t="shared" si="13"/>
        <v>30098.457133769767</v>
      </c>
      <c r="G73" s="103">
        <f t="shared" si="8"/>
        <v>166764.21158773272</v>
      </c>
      <c r="H73" s="11">
        <v>0</v>
      </c>
      <c r="I73" s="15">
        <f t="shared" si="3"/>
        <v>236993.94489986217</v>
      </c>
      <c r="J73" s="11">
        <f t="shared" si="4"/>
        <v>178755.47143018994</v>
      </c>
      <c r="K73" s="11">
        <f t="shared" si="9"/>
        <v>0</v>
      </c>
      <c r="L73" s="39">
        <f t="shared" si="12"/>
        <v>52138.667877969674</v>
      </c>
      <c r="M73" s="11">
        <f t="shared" si="14"/>
        <v>1604.7064390987878</v>
      </c>
      <c r="N73" s="102">
        <f t="shared" si="5"/>
        <v>232498.8457472584</v>
      </c>
      <c r="O73" s="103">
        <f t="shared" si="6"/>
        <v>4495.0991526037687</v>
      </c>
      <c r="P73" s="103">
        <f t="shared" si="11"/>
        <v>2783898.6256148159</v>
      </c>
      <c r="Q73" s="10"/>
    </row>
    <row r="74" spans="1:17">
      <c r="A74" s="114">
        <f t="shared" si="15"/>
        <v>2038</v>
      </c>
      <c r="B74" s="114">
        <f t="shared" si="15"/>
        <v>79</v>
      </c>
      <c r="C74" s="11">
        <v>0</v>
      </c>
      <c r="D74" s="11">
        <v>0</v>
      </c>
      <c r="E74" s="11">
        <f t="shared" si="13"/>
        <v>41335.214463710479</v>
      </c>
      <c r="F74" s="11">
        <f t="shared" si="13"/>
        <v>31001.410847782859</v>
      </c>
      <c r="G74" s="103">
        <f t="shared" si="8"/>
        <v>167033.91753688894</v>
      </c>
      <c r="H74" s="11">
        <v>0</v>
      </c>
      <c r="I74" s="15">
        <f t="shared" si="3"/>
        <v>239370.54284838226</v>
      </c>
      <c r="J74" s="11">
        <f t="shared" si="4"/>
        <v>184118.13557309564</v>
      </c>
      <c r="K74" s="11">
        <f t="shared" si="9"/>
        <v>0</v>
      </c>
      <c r="L74" s="39">
        <f t="shared" si="12"/>
        <v>52661.519426644096</v>
      </c>
      <c r="M74" s="11">
        <f t="shared" si="14"/>
        <v>1652.8476322717515</v>
      </c>
      <c r="N74" s="102">
        <f t="shared" si="5"/>
        <v>238432.50263201148</v>
      </c>
      <c r="O74" s="103">
        <f t="shared" si="6"/>
        <v>938.04021637077676</v>
      </c>
      <c r="P74" s="103">
        <f t="shared" si="11"/>
        <v>2784836.6658311868</v>
      </c>
      <c r="Q74" s="10"/>
    </row>
    <row r="75" spans="1:17">
      <c r="A75" s="114">
        <f t="shared" si="15"/>
        <v>2039</v>
      </c>
      <c r="B75" s="114">
        <f t="shared" si="15"/>
        <v>80</v>
      </c>
      <c r="C75" s="11">
        <v>0</v>
      </c>
      <c r="D75" s="11">
        <v>0</v>
      </c>
      <c r="E75" s="11">
        <f t="shared" si="13"/>
        <v>42575.270897621798</v>
      </c>
      <c r="F75" s="11">
        <f t="shared" si="13"/>
        <v>31931.453173216345</v>
      </c>
      <c r="G75" s="103">
        <f t="shared" si="8"/>
        <v>167090.1999498712</v>
      </c>
      <c r="H75" s="11">
        <v>0</v>
      </c>
      <c r="I75" s="15">
        <f t="shared" si="3"/>
        <v>241596.92402070935</v>
      </c>
      <c r="J75" s="11">
        <f t="shared" si="4"/>
        <v>189641.67964028852</v>
      </c>
      <c r="K75" s="11">
        <f t="shared" si="9"/>
        <v>0</v>
      </c>
      <c r="L75" s="39">
        <f t="shared" si="12"/>
        <v>53151.323284556056</v>
      </c>
      <c r="M75" s="11">
        <f t="shared" si="14"/>
        <v>1702.4330612399042</v>
      </c>
      <c r="N75" s="102">
        <f t="shared" si="5"/>
        <v>244495.43598608446</v>
      </c>
      <c r="O75" s="103">
        <f t="shared" si="6"/>
        <v>-2898.5119653751026</v>
      </c>
      <c r="P75" s="103">
        <f t="shared" si="11"/>
        <v>2781938.1538658119</v>
      </c>
      <c r="Q75" s="10"/>
    </row>
    <row r="76" spans="1:17">
      <c r="A76" s="114">
        <f t="shared" si="15"/>
        <v>2040</v>
      </c>
      <c r="B76" s="114">
        <f t="shared" si="15"/>
        <v>81</v>
      </c>
      <c r="C76" s="11">
        <v>0</v>
      </c>
      <c r="D76" s="11">
        <v>0</v>
      </c>
      <c r="E76" s="11">
        <f t="shared" si="13"/>
        <v>43852.529024550451</v>
      </c>
      <c r="F76" s="11">
        <f t="shared" si="13"/>
        <v>32889.396768412837</v>
      </c>
      <c r="G76" s="103">
        <f t="shared" si="8"/>
        <v>166916.2892319487</v>
      </c>
      <c r="H76" s="11">
        <v>0</v>
      </c>
      <c r="I76" s="15">
        <f t="shared" si="3"/>
        <v>243658.21502491197</v>
      </c>
      <c r="J76" s="11">
        <f t="shared" si="4"/>
        <v>195330.93002949719</v>
      </c>
      <c r="K76" s="11">
        <f t="shared" si="9"/>
        <v>0</v>
      </c>
      <c r="L76" s="39">
        <f t="shared" si="12"/>
        <v>53604.807305480637</v>
      </c>
      <c r="M76" s="11">
        <f t="shared" si="14"/>
        <v>1753.5060530771013</v>
      </c>
      <c r="N76" s="102">
        <f t="shared" si="5"/>
        <v>250689.24338805495</v>
      </c>
      <c r="O76" s="103">
        <f t="shared" si="6"/>
        <v>-7031.0283631429775</v>
      </c>
      <c r="P76" s="103">
        <f t="shared" si="11"/>
        <v>2774907.1255026688</v>
      </c>
      <c r="Q76" s="105"/>
    </row>
    <row r="77" spans="1:17">
      <c r="A77" s="114">
        <f t="shared" si="15"/>
        <v>2041</v>
      </c>
      <c r="B77" s="114">
        <f t="shared" si="15"/>
        <v>82</v>
      </c>
      <c r="C77" s="11">
        <v>0</v>
      </c>
      <c r="D77" s="11">
        <v>0</v>
      </c>
      <c r="E77" s="11">
        <f t="shared" si="13"/>
        <v>45168.104895286968</v>
      </c>
      <c r="F77" s="11">
        <f t="shared" si="13"/>
        <v>33876.07867146522</v>
      </c>
      <c r="G77" s="103">
        <f t="shared" si="8"/>
        <v>166494.42753016012</v>
      </c>
      <c r="H77" s="11">
        <v>0</v>
      </c>
      <c r="I77" s="15">
        <f t="shared" si="3"/>
        <v>245538.6110969123</v>
      </c>
      <c r="J77" s="11">
        <f t="shared" si="4"/>
        <v>201190.8579303821</v>
      </c>
      <c r="K77" s="11">
        <v>0</v>
      </c>
      <c r="L77" s="39">
        <f t="shared" si="12"/>
        <v>54018.494441320705</v>
      </c>
      <c r="M77" s="11">
        <f t="shared" si="14"/>
        <v>1806.1112346694144</v>
      </c>
      <c r="N77" s="102">
        <f t="shared" si="5"/>
        <v>257015.46360637224</v>
      </c>
      <c r="O77" s="103">
        <f t="shared" si="6"/>
        <v>-11476.852509459946</v>
      </c>
      <c r="P77" s="103">
        <f t="shared" si="11"/>
        <v>2763430.2729932088</v>
      </c>
      <c r="Q77" s="10"/>
    </row>
    <row r="78" spans="1:17">
      <c r="A78" s="114">
        <f t="shared" si="15"/>
        <v>2042</v>
      </c>
      <c r="B78" s="114">
        <f t="shared" si="15"/>
        <v>83</v>
      </c>
      <c r="C78" s="11">
        <v>0</v>
      </c>
      <c r="D78" s="11">
        <v>0</v>
      </c>
      <c r="E78" s="11">
        <f t="shared" si="13"/>
        <v>46523.148042145578</v>
      </c>
      <c r="F78" s="11">
        <f t="shared" si="13"/>
        <v>34892.36103160918</v>
      </c>
      <c r="G78" s="103">
        <f t="shared" si="8"/>
        <v>165805.81637959252</v>
      </c>
      <c r="H78" s="11">
        <v>0</v>
      </c>
      <c r="I78" s="15">
        <f t="shared" si="3"/>
        <v>247221.32545334729</v>
      </c>
      <c r="J78" s="11">
        <f t="shared" si="4"/>
        <v>207226.58366829358</v>
      </c>
      <c r="K78" s="11">
        <v>0</v>
      </c>
      <c r="L78" s="39">
        <f t="shared" si="12"/>
        <v>54388.691599736405</v>
      </c>
      <c r="M78" s="11">
        <f t="shared" si="14"/>
        <v>1860.2945717094969</v>
      </c>
      <c r="N78" s="102">
        <f t="shared" si="5"/>
        <v>263475.56983973947</v>
      </c>
      <c r="O78" s="103">
        <f t="shared" si="6"/>
        <v>-16254.24438639218</v>
      </c>
      <c r="P78" s="103">
        <f t="shared" si="11"/>
        <v>2747176.0286068167</v>
      </c>
      <c r="Q78" s="10"/>
    </row>
    <row r="79" spans="1:17">
      <c r="A79" s="114">
        <f t="shared" si="15"/>
        <v>2043</v>
      </c>
      <c r="B79" s="114">
        <f t="shared" si="15"/>
        <v>84</v>
      </c>
      <c r="C79" s="11">
        <v>0</v>
      </c>
      <c r="D79" s="11">
        <v>0</v>
      </c>
      <c r="E79" s="11">
        <f t="shared" si="13"/>
        <v>47918.84248340995</v>
      </c>
      <c r="F79" s="11">
        <f t="shared" si="13"/>
        <v>35939.131862557457</v>
      </c>
      <c r="G79" s="103">
        <f t="shared" si="8"/>
        <v>164830.56171640899</v>
      </c>
      <c r="H79" s="11">
        <v>0</v>
      </c>
      <c r="I79" s="15">
        <f t="shared" si="3"/>
        <v>248688.5360623764</v>
      </c>
      <c r="J79" s="11">
        <f t="shared" si="4"/>
        <v>213443.38117834239</v>
      </c>
      <c r="K79" s="11">
        <v>0</v>
      </c>
      <c r="L79" s="39">
        <f t="shared" si="12"/>
        <v>54711.47793372281</v>
      </c>
      <c r="M79" s="11">
        <f t="shared" si="14"/>
        <v>1916.1034088607819</v>
      </c>
      <c r="N79" s="102">
        <f t="shared" si="5"/>
        <v>270070.96252092597</v>
      </c>
      <c r="O79" s="103">
        <f t="shared" si="6"/>
        <v>-21382.426458549569</v>
      </c>
      <c r="P79" s="103">
        <f t="shared" si="11"/>
        <v>2725793.602148267</v>
      </c>
      <c r="Q79" s="10"/>
    </row>
    <row r="80" spans="1:17">
      <c r="A80" s="114">
        <f t="shared" si="15"/>
        <v>2044</v>
      </c>
      <c r="B80" s="114">
        <f t="shared" si="15"/>
        <v>85</v>
      </c>
      <c r="C80" s="11">
        <v>0</v>
      </c>
      <c r="D80" s="11">
        <v>0</v>
      </c>
      <c r="E80" s="11">
        <f t="shared" si="13"/>
        <v>49356.407757912246</v>
      </c>
      <c r="F80" s="11">
        <f t="shared" si="13"/>
        <v>37017.305818434179</v>
      </c>
      <c r="G80" s="103">
        <f t="shared" si="8"/>
        <v>163547.61612889601</v>
      </c>
      <c r="H80" s="11">
        <v>0</v>
      </c>
      <c r="I80" s="15">
        <f t="shared" si="3"/>
        <v>249921.32970524245</v>
      </c>
      <c r="J80" s="11">
        <f t="shared" si="4"/>
        <v>219846.68261369265</v>
      </c>
      <c r="K80" s="11">
        <v>0</v>
      </c>
      <c r="L80" s="39">
        <f t="shared" si="12"/>
        <v>54982.692535153335</v>
      </c>
      <c r="M80" s="11">
        <f t="shared" si="14"/>
        <v>1973.5865111266055</v>
      </c>
      <c r="N80" s="102">
        <f t="shared" si="5"/>
        <v>276802.96165997261</v>
      </c>
      <c r="O80" s="103">
        <f t="shared" si="6"/>
        <v>-26881.631954730168</v>
      </c>
      <c r="P80" s="103">
        <f t="shared" si="11"/>
        <v>2698911.970193537</v>
      </c>
      <c r="Q80" s="10"/>
    </row>
    <row r="81" spans="1:17">
      <c r="A81" s="114">
        <f t="shared" si="15"/>
        <v>2045</v>
      </c>
      <c r="B81" s="114">
        <f t="shared" si="15"/>
        <v>86</v>
      </c>
      <c r="C81" s="11">
        <v>0</v>
      </c>
      <c r="D81" s="11">
        <v>0</v>
      </c>
      <c r="E81" s="11">
        <f t="shared" si="13"/>
        <v>50837.099990649614</v>
      </c>
      <c r="F81" s="11">
        <f t="shared" si="13"/>
        <v>38127.824992987204</v>
      </c>
      <c r="G81" s="103">
        <f t="shared" si="8"/>
        <v>161934.7182116122</v>
      </c>
      <c r="H81" s="11">
        <v>0</v>
      </c>
      <c r="I81" s="15">
        <f t="shared" si="3"/>
        <v>250899.64319524902</v>
      </c>
      <c r="J81" s="11">
        <f t="shared" si="4"/>
        <v>226442.08309210345</v>
      </c>
      <c r="K81" s="11">
        <v>0</v>
      </c>
      <c r="L81" s="39">
        <f t="shared" si="12"/>
        <v>55197.921502954785</v>
      </c>
      <c r="M81" s="11">
        <f t="shared" si="14"/>
        <v>2032.7941064604038</v>
      </c>
      <c r="N81" s="102">
        <f t="shared" si="5"/>
        <v>283672.79870151862</v>
      </c>
      <c r="O81" s="103">
        <f t="shared" si="6"/>
        <v>-32773.155506269599</v>
      </c>
      <c r="P81" s="103">
        <f t="shared" si="11"/>
        <v>2666138.8146872674</v>
      </c>
      <c r="Q81" s="10"/>
    </row>
    <row r="82" spans="1:17">
      <c r="A82" s="114">
        <f t="shared" si="15"/>
        <v>2046</v>
      </c>
      <c r="B82" s="114">
        <f t="shared" si="15"/>
        <v>87</v>
      </c>
      <c r="C82" s="11">
        <v>0</v>
      </c>
      <c r="D82" s="11">
        <v>0</v>
      </c>
      <c r="E82" s="11">
        <f t="shared" si="13"/>
        <v>52362.212990369102</v>
      </c>
      <c r="F82" s="11">
        <f t="shared" si="13"/>
        <v>39271.659742776821</v>
      </c>
      <c r="G82" s="103">
        <f t="shared" si="8"/>
        <v>159968.32888123603</v>
      </c>
      <c r="H82" s="11">
        <v>0</v>
      </c>
      <c r="I82" s="15">
        <f t="shared" si="3"/>
        <v>251602.20161438195</v>
      </c>
      <c r="J82" s="11">
        <f t="shared" si="4"/>
        <v>233235.34558486656</v>
      </c>
      <c r="K82" s="11">
        <v>0</v>
      </c>
      <c r="L82" s="39">
        <f t="shared" si="12"/>
        <v>55352.48435516403</v>
      </c>
      <c r="M82" s="11">
        <f t="shared" si="14"/>
        <v>2093.7779296542158</v>
      </c>
      <c r="N82" s="102">
        <f t="shared" si="5"/>
        <v>290681.60786968481</v>
      </c>
      <c r="O82" s="103">
        <f t="shared" si="6"/>
        <v>-39079.406255302863</v>
      </c>
      <c r="P82" s="103">
        <f t="shared" si="11"/>
        <v>2627059.4084319645</v>
      </c>
      <c r="Q82" s="10"/>
    </row>
    <row r="83" spans="1:17">
      <c r="A83" s="114">
        <f t="shared" si="15"/>
        <v>2047</v>
      </c>
      <c r="B83" s="114">
        <f t="shared" si="15"/>
        <v>88</v>
      </c>
      <c r="C83" s="11">
        <v>0</v>
      </c>
      <c r="D83" s="11">
        <v>0</v>
      </c>
      <c r="E83" s="11">
        <f t="shared" si="13"/>
        <v>53933.079380080177</v>
      </c>
      <c r="F83" s="11">
        <f t="shared" si="13"/>
        <v>40449.809535060129</v>
      </c>
      <c r="G83" s="103">
        <f t="shared" si="8"/>
        <v>157623.56450591786</v>
      </c>
      <c r="H83" s="11">
        <v>0</v>
      </c>
      <c r="I83" s="15">
        <f t="shared" si="3"/>
        <v>252006.45342105816</v>
      </c>
      <c r="J83" s="11">
        <f t="shared" si="4"/>
        <v>240232.40595241258</v>
      </c>
      <c r="K83" s="11">
        <v>0</v>
      </c>
      <c r="L83" s="39">
        <f t="shared" si="12"/>
        <v>55441.419752632799</v>
      </c>
      <c r="M83" s="11">
        <f t="shared" si="14"/>
        <v>2156.5912675438422</v>
      </c>
      <c r="N83" s="102">
        <f t="shared" si="5"/>
        <v>297830.41697258921</v>
      </c>
      <c r="O83" s="103">
        <f t="shared" si="6"/>
        <v>-45823.963551531051</v>
      </c>
      <c r="P83" s="103">
        <f t="shared" si="11"/>
        <v>2581235.4448804334</v>
      </c>
      <c r="Q83" s="10"/>
    </row>
    <row r="84" spans="1:17">
      <c r="A84" s="114">
        <f t="shared" si="15"/>
        <v>2048</v>
      </c>
      <c r="B84" s="114">
        <f t="shared" si="15"/>
        <v>89</v>
      </c>
      <c r="C84" s="11">
        <v>0</v>
      </c>
      <c r="D84" s="11">
        <v>0</v>
      </c>
      <c r="E84" s="11">
        <f t="shared" si="13"/>
        <v>55551.071761482584</v>
      </c>
      <c r="F84" s="11">
        <f t="shared" si="13"/>
        <v>41663.303821111935</v>
      </c>
      <c r="G84" s="103">
        <f t="shared" si="8"/>
        <v>154874.12669282599</v>
      </c>
      <c r="H84" s="11">
        <v>0</v>
      </c>
      <c r="I84" s="15">
        <f t="shared" si="3"/>
        <v>252088.5022754205</v>
      </c>
      <c r="J84" s="11">
        <f t="shared" si="4"/>
        <v>247439.37813098496</v>
      </c>
      <c r="K84" s="11">
        <v>0</v>
      </c>
      <c r="L84" s="39">
        <f t="shared" si="12"/>
        <v>55459.470500592513</v>
      </c>
      <c r="M84" s="11">
        <f t="shared" si="14"/>
        <v>2221.2890055701573</v>
      </c>
      <c r="N84" s="102">
        <f t="shared" si="5"/>
        <v>305120.13763714762</v>
      </c>
      <c r="O84" s="103">
        <f t="shared" si="6"/>
        <v>-53031.635361727123</v>
      </c>
      <c r="P84" s="103">
        <f t="shared" si="11"/>
        <v>2528203.8095187061</v>
      </c>
      <c r="Q84" s="10"/>
    </row>
    <row r="85" spans="1:17">
      <c r="A85" s="114">
        <f t="shared" si="15"/>
        <v>2049</v>
      </c>
      <c r="B85" s="114">
        <f t="shared" si="15"/>
        <v>90</v>
      </c>
      <c r="C85" s="11">
        <v>0</v>
      </c>
      <c r="D85" s="11">
        <v>0</v>
      </c>
      <c r="E85" s="11">
        <f t="shared" si="13"/>
        <v>57217.603914327061</v>
      </c>
      <c r="F85" s="11">
        <f t="shared" si="13"/>
        <v>42913.202935745292</v>
      </c>
      <c r="G85" s="103">
        <f t="shared" si="8"/>
        <v>151692.22857112237</v>
      </c>
      <c r="H85" s="11">
        <v>0</v>
      </c>
      <c r="I85" s="15">
        <f t="shared" si="3"/>
        <v>251823.03542119471</v>
      </c>
      <c r="J85" s="11">
        <f t="shared" si="4"/>
        <v>254862.55947491451</v>
      </c>
      <c r="K85" s="11">
        <v>0</v>
      </c>
      <c r="L85" s="39">
        <f t="shared" si="12"/>
        <v>55401.067792662834</v>
      </c>
      <c r="M85" s="11">
        <f t="shared" si="14"/>
        <v>2287.9276757372622</v>
      </c>
      <c r="N85" s="102">
        <f t="shared" si="5"/>
        <v>312551.55494331458</v>
      </c>
      <c r="O85" s="103">
        <f t="shared" si="6"/>
        <v>-60728.519522119866</v>
      </c>
      <c r="P85" s="103">
        <f t="shared" si="11"/>
        <v>2467475.2899965863</v>
      </c>
      <c r="Q85" s="105"/>
    </row>
    <row r="86" spans="1:17">
      <c r="A86" s="114">
        <f t="shared" si="15"/>
        <v>2050</v>
      </c>
      <c r="B86" s="114">
        <f t="shared" si="15"/>
        <v>91</v>
      </c>
      <c r="C86" s="11">
        <v>0</v>
      </c>
      <c r="D86" s="11">
        <v>0</v>
      </c>
      <c r="E86" s="11">
        <f t="shared" si="13"/>
        <v>58934.132031756875</v>
      </c>
      <c r="F86" s="11">
        <f t="shared" si="13"/>
        <v>44200.599023817653</v>
      </c>
      <c r="G86" s="103">
        <f t="shared" si="8"/>
        <v>148048.51739979518</v>
      </c>
      <c r="H86" s="11">
        <v>0</v>
      </c>
      <c r="I86" s="15">
        <f t="shared" si="3"/>
        <v>251183.2484553697</v>
      </c>
      <c r="J86" s="11">
        <f t="shared" si="4"/>
        <v>262508.43625916197</v>
      </c>
      <c r="K86" s="11">
        <v>0</v>
      </c>
      <c r="L86" s="39">
        <f t="shared" si="12"/>
        <v>55260.314660181335</v>
      </c>
      <c r="M86" s="106">
        <v>50000</v>
      </c>
      <c r="N86" s="102">
        <f t="shared" si="5"/>
        <v>367768.75091934332</v>
      </c>
      <c r="O86" s="103">
        <f t="shared" si="6"/>
        <v>-116585.50246397362</v>
      </c>
      <c r="P86" s="103">
        <f t="shared" si="11"/>
        <v>2350889.7875326127</v>
      </c>
      <c r="Q86" s="88" t="s">
        <v>28</v>
      </c>
    </row>
    <row r="87" spans="1:17">
      <c r="A87" s="114">
        <f t="shared" si="15"/>
        <v>2051</v>
      </c>
      <c r="B87" s="114">
        <f t="shared" si="15"/>
        <v>92</v>
      </c>
      <c r="C87" s="11">
        <v>0</v>
      </c>
      <c r="D87" s="11">
        <v>0</v>
      </c>
      <c r="E87" s="11">
        <f t="shared" si="13"/>
        <v>60702.15599270958</v>
      </c>
      <c r="F87" s="11">
        <f t="shared" si="13"/>
        <v>45526.616994532182</v>
      </c>
      <c r="G87" s="103">
        <f t="shared" si="8"/>
        <v>141053.38725195677</v>
      </c>
      <c r="H87" s="11">
        <v>0</v>
      </c>
      <c r="I87" s="15">
        <f t="shared" si="3"/>
        <v>247282.16023919854</v>
      </c>
      <c r="J87" s="11">
        <f t="shared" si="4"/>
        <v>270383.68934693682</v>
      </c>
      <c r="K87" s="11">
        <v>0</v>
      </c>
      <c r="L87" s="39">
        <f t="shared" si="12"/>
        <v>54402.075252623676</v>
      </c>
      <c r="M87" s="11">
        <f t="shared" si="14"/>
        <v>51500</v>
      </c>
      <c r="N87" s="102">
        <f t="shared" si="5"/>
        <v>376285.76459956053</v>
      </c>
      <c r="O87" s="103">
        <f t="shared" si="6"/>
        <v>-129003.60436036199</v>
      </c>
      <c r="P87" s="103">
        <f t="shared" si="11"/>
        <v>2221886.1831722506</v>
      </c>
      <c r="Q87" s="10"/>
    </row>
    <row r="88" spans="1:17">
      <c r="A88" s="114">
        <f t="shared" ref="A88:B95" si="16">A87+1</f>
        <v>2052</v>
      </c>
      <c r="B88" s="114">
        <f t="shared" si="16"/>
        <v>93</v>
      </c>
      <c r="C88" s="11">
        <v>0</v>
      </c>
      <c r="D88" s="11">
        <v>0</v>
      </c>
      <c r="E88" s="11">
        <f t="shared" si="13"/>
        <v>62523.220672490868</v>
      </c>
      <c r="F88" s="11">
        <f t="shared" si="13"/>
        <v>46892.415504368146</v>
      </c>
      <c r="G88" s="103">
        <f t="shared" si="8"/>
        <v>133313.17099033503</v>
      </c>
      <c r="H88" s="11">
        <v>0</v>
      </c>
      <c r="I88" s="15">
        <f t="shared" si="3"/>
        <v>242728.80716719403</v>
      </c>
      <c r="J88" s="11">
        <f t="shared" si="4"/>
        <v>278495.20002734492</v>
      </c>
      <c r="K88" s="11">
        <v>0</v>
      </c>
      <c r="L88" s="39">
        <f t="shared" si="12"/>
        <v>53400.337576782687</v>
      </c>
      <c r="M88" s="11">
        <f t="shared" si="14"/>
        <v>53045</v>
      </c>
      <c r="N88" s="102">
        <f t="shared" si="5"/>
        <v>384940.5376041276</v>
      </c>
      <c r="O88" s="103">
        <f t="shared" si="6"/>
        <v>-142211.73043693358</v>
      </c>
      <c r="P88" s="103">
        <f t="shared" si="11"/>
        <v>2079674.4527353169</v>
      </c>
      <c r="Q88" s="10"/>
    </row>
    <row r="89" spans="1:17">
      <c r="A89" s="114">
        <f t="shared" si="16"/>
        <v>2053</v>
      </c>
      <c r="B89" s="114">
        <f t="shared" si="16"/>
        <v>94</v>
      </c>
      <c r="C89" s="11">
        <v>0</v>
      </c>
      <c r="D89" s="11">
        <v>0</v>
      </c>
      <c r="E89" s="11">
        <f t="shared" si="13"/>
        <v>64398.917292665596</v>
      </c>
      <c r="F89" s="11">
        <f t="shared" si="13"/>
        <v>48299.187969499195</v>
      </c>
      <c r="G89" s="103">
        <f t="shared" si="8"/>
        <v>124780.46716411901</v>
      </c>
      <c r="H89" s="11">
        <v>0</v>
      </c>
      <c r="I89" s="15">
        <f t="shared" si="3"/>
        <v>237478.57242628379</v>
      </c>
      <c r="J89" s="11">
        <f t="shared" si="4"/>
        <v>286850.05602816527</v>
      </c>
      <c r="K89" s="11">
        <v>0</v>
      </c>
      <c r="L89" s="39">
        <f t="shared" si="12"/>
        <v>52245.285933782434</v>
      </c>
      <c r="M89" s="11">
        <f t="shared" si="14"/>
        <v>54636.35</v>
      </c>
      <c r="N89" s="102">
        <f t="shared" si="5"/>
        <v>393731.69196194771</v>
      </c>
      <c r="O89" s="103">
        <f t="shared" si="6"/>
        <v>-156253.11953566392</v>
      </c>
      <c r="P89" s="103">
        <f t="shared" si="11"/>
        <v>1923421.3331996531</v>
      </c>
      <c r="Q89" s="10"/>
    </row>
    <row r="90" spans="1:17">
      <c r="A90" s="114">
        <f t="shared" si="16"/>
        <v>2054</v>
      </c>
      <c r="B90" s="114">
        <f t="shared" si="16"/>
        <v>95</v>
      </c>
      <c r="C90" s="11">
        <v>0</v>
      </c>
      <c r="D90" s="11">
        <v>0</v>
      </c>
      <c r="E90" s="11">
        <f t="shared" si="13"/>
        <v>66330.884811445561</v>
      </c>
      <c r="F90" s="11">
        <f t="shared" si="13"/>
        <v>49748.163608584175</v>
      </c>
      <c r="G90" s="103">
        <f t="shared" si="8"/>
        <v>115405.27999197919</v>
      </c>
      <c r="H90" s="11">
        <v>0</v>
      </c>
      <c r="I90" s="15">
        <f t="shared" si="3"/>
        <v>231484.32841200894</v>
      </c>
      <c r="J90" s="11">
        <f t="shared" si="4"/>
        <v>295455.55770901026</v>
      </c>
      <c r="K90" s="11">
        <v>0</v>
      </c>
      <c r="L90" s="39">
        <f t="shared" si="12"/>
        <v>50926.552250641966</v>
      </c>
      <c r="M90" s="11">
        <f t="shared" si="14"/>
        <v>56275.440499999997</v>
      </c>
      <c r="N90" s="102">
        <f t="shared" si="5"/>
        <v>402657.55045965221</v>
      </c>
      <c r="O90" s="103">
        <f t="shared" si="6"/>
        <v>-171173.22204764327</v>
      </c>
      <c r="P90" s="103">
        <f t="shared" si="11"/>
        <v>1752248.1111520098</v>
      </c>
      <c r="Q90" s="10"/>
    </row>
    <row r="91" spans="1:17">
      <c r="A91" s="114">
        <f t="shared" si="16"/>
        <v>2055</v>
      </c>
      <c r="B91" s="114">
        <f t="shared" si="16"/>
        <v>96</v>
      </c>
      <c r="C91" s="11">
        <v>0</v>
      </c>
      <c r="D91" s="11">
        <v>0</v>
      </c>
      <c r="E91" s="11">
        <f t="shared" si="13"/>
        <v>68320.81135578893</v>
      </c>
      <c r="F91" s="11">
        <f t="shared" si="13"/>
        <v>51240.608516841705</v>
      </c>
      <c r="G91" s="103">
        <f t="shared" si="8"/>
        <v>105134.88666912059</v>
      </c>
      <c r="H91" s="11">
        <v>0</v>
      </c>
      <c r="I91" s="15">
        <f t="shared" si="3"/>
        <v>224696.30654175123</v>
      </c>
      <c r="J91" s="11">
        <f t="shared" si="4"/>
        <v>304319.22444028058</v>
      </c>
      <c r="K91" s="11">
        <v>0</v>
      </c>
      <c r="L91" s="39">
        <f t="shared" si="12"/>
        <v>49433.187439185269</v>
      </c>
      <c r="M91" s="11">
        <f t="shared" si="14"/>
        <v>57963.703714999996</v>
      </c>
      <c r="N91" s="102">
        <f t="shared" si="5"/>
        <v>411716.11559446587</v>
      </c>
      <c r="O91" s="103">
        <f t="shared" si="6"/>
        <v>-187019.80905271464</v>
      </c>
      <c r="P91" s="103">
        <f t="shared" si="11"/>
        <v>1565228.3020992952</v>
      </c>
      <c r="Q91" s="89"/>
    </row>
    <row r="92" spans="1:17">
      <c r="A92" s="114">
        <f t="shared" si="16"/>
        <v>2056</v>
      </c>
      <c r="B92" s="114">
        <f t="shared" si="16"/>
        <v>97</v>
      </c>
      <c r="C92" s="11">
        <v>0</v>
      </c>
      <c r="D92" s="11">
        <v>0</v>
      </c>
      <c r="E92" s="11">
        <f t="shared" si="13"/>
        <v>70370.435696462606</v>
      </c>
      <c r="F92" s="11">
        <f t="shared" si="13"/>
        <v>52777.826772346954</v>
      </c>
      <c r="G92" s="103">
        <f>IF(P91&gt;0,P91*G$52,0)</f>
        <v>93913.698125957715</v>
      </c>
      <c r="H92" s="11">
        <v>0</v>
      </c>
      <c r="I92" s="15">
        <f t="shared" si="3"/>
        <v>217061.96059476727</v>
      </c>
      <c r="J92" s="11">
        <f t="shared" si="4"/>
        <v>313448.80117348902</v>
      </c>
      <c r="K92" s="11">
        <v>0</v>
      </c>
      <c r="L92" s="39">
        <f t="shared" si="12"/>
        <v>47753.631330848802</v>
      </c>
      <c r="M92" s="11">
        <f t="shared" si="14"/>
        <v>59702.614826450001</v>
      </c>
      <c r="N92" s="102">
        <f>SUM(J92:M92)</f>
        <v>420905.04733078781</v>
      </c>
      <c r="O92" s="103">
        <f>I92-N92</f>
        <v>-203843.08673602054</v>
      </c>
      <c r="P92" s="103">
        <f>P91+O92</f>
        <v>1361385.2153632746</v>
      </c>
      <c r="Q92" s="89"/>
    </row>
    <row r="93" spans="1:17">
      <c r="A93" s="114">
        <f t="shared" si="16"/>
        <v>2057</v>
      </c>
      <c r="B93" s="114">
        <f t="shared" si="16"/>
        <v>98</v>
      </c>
      <c r="C93" s="11">
        <v>0</v>
      </c>
      <c r="D93" s="11">
        <v>0</v>
      </c>
      <c r="E93" s="11">
        <f t="shared" si="13"/>
        <v>72481.548767356493</v>
      </c>
      <c r="F93" s="11">
        <f t="shared" si="13"/>
        <v>54361.161575517363</v>
      </c>
      <c r="G93" s="103">
        <f>IF(P92&gt;0,P92*G$52,0)</f>
        <v>81683.112921796477</v>
      </c>
      <c r="H93" s="11">
        <v>0</v>
      </c>
      <c r="I93" s="15">
        <f t="shared" si="3"/>
        <v>208525.82326467033</v>
      </c>
      <c r="J93" s="11">
        <f t="shared" si="4"/>
        <v>322852.26520869369</v>
      </c>
      <c r="K93" s="11">
        <v>0</v>
      </c>
      <c r="L93" s="39">
        <f t="shared" si="12"/>
        <v>45875.681118227469</v>
      </c>
      <c r="M93" s="11">
        <f t="shared" si="14"/>
        <v>61493.693271243501</v>
      </c>
      <c r="N93" s="102">
        <f>SUM(J93:M93)</f>
        <v>430221.63959816465</v>
      </c>
      <c r="O93" s="103">
        <f>I93-N93</f>
        <v>-221695.81633349432</v>
      </c>
      <c r="P93" s="103">
        <f>P92+O93</f>
        <v>1139689.3990297802</v>
      </c>
      <c r="Q93" s="89"/>
    </row>
    <row r="94" spans="1:17">
      <c r="A94" s="114">
        <f t="shared" si="16"/>
        <v>2058</v>
      </c>
      <c r="B94" s="114">
        <f t="shared" si="16"/>
        <v>99</v>
      </c>
      <c r="C94" s="11">
        <v>0</v>
      </c>
      <c r="D94" s="11">
        <v>0</v>
      </c>
      <c r="E94" s="11">
        <f t="shared" si="13"/>
        <v>74655.995230377186</v>
      </c>
      <c r="F94" s="11">
        <f t="shared" si="13"/>
        <v>55991.996422782882</v>
      </c>
      <c r="G94" s="103">
        <f>IF(P93&gt;0,P93*G$52,0)</f>
        <v>68381.363941786811</v>
      </c>
      <c r="H94" s="11">
        <v>0</v>
      </c>
      <c r="I94" s="15">
        <f t="shared" si="3"/>
        <v>199029.35559494689</v>
      </c>
      <c r="J94" s="11">
        <f t="shared" si="4"/>
        <v>332537.8331649545</v>
      </c>
      <c r="K94" s="11">
        <v>0</v>
      </c>
      <c r="L94" s="39">
        <f t="shared" si="12"/>
        <v>43786.458230888318</v>
      </c>
      <c r="M94" s="11">
        <f t="shared" si="14"/>
        <v>63338.504069380804</v>
      </c>
      <c r="N94" s="102">
        <f>SUM(J94:M94)</f>
        <v>439662.79546522361</v>
      </c>
      <c r="O94" s="103">
        <f>I94-N94</f>
        <v>-240633.43987027672</v>
      </c>
      <c r="P94" s="103">
        <f>P93+O94</f>
        <v>899055.95915950346</v>
      </c>
      <c r="Q94" s="89"/>
    </row>
    <row r="95" spans="1:17">
      <c r="A95" s="114">
        <f t="shared" si="16"/>
        <v>2059</v>
      </c>
      <c r="B95" s="114">
        <f t="shared" si="16"/>
        <v>100</v>
      </c>
      <c r="C95" s="11">
        <v>0</v>
      </c>
      <c r="D95" s="11">
        <v>0</v>
      </c>
      <c r="E95" s="11">
        <f t="shared" si="13"/>
        <v>76895.675087288502</v>
      </c>
      <c r="F95" s="11">
        <f t="shared" si="13"/>
        <v>57671.756315466373</v>
      </c>
      <c r="G95" s="103">
        <f>IF(P94&gt;0,P94*G$52,0)</f>
        <v>53943.357549570203</v>
      </c>
      <c r="H95" s="11">
        <v>0</v>
      </c>
      <c r="I95" s="15">
        <f>SUM(C95:H95)</f>
        <v>188510.78895232509</v>
      </c>
      <c r="J95" s="11">
        <f t="shared" si="4"/>
        <v>342513.96815990313</v>
      </c>
      <c r="K95" s="11">
        <v>0</v>
      </c>
      <c r="L95" s="39">
        <f>I95*L$52</f>
        <v>41472.373569511517</v>
      </c>
      <c r="M95" s="11">
        <f t="shared" si="14"/>
        <v>65238.659191462233</v>
      </c>
      <c r="N95" s="102">
        <f>SUM(J95:M95)</f>
        <v>449225.00092087686</v>
      </c>
      <c r="O95" s="103">
        <f>I95-N95</f>
        <v>-260714.21196855177</v>
      </c>
      <c r="P95" s="103">
        <f>P94+O95</f>
        <v>638341.74719095172</v>
      </c>
      <c r="Q95" s="89"/>
    </row>
    <row r="96" spans="1:17" s="54" customFormat="1">
      <c r="A96" s="10"/>
      <c r="B96" s="13"/>
      <c r="C96" s="11"/>
      <c r="D96" s="11"/>
      <c r="E96" s="11"/>
      <c r="F96" s="11"/>
      <c r="G96" s="103"/>
      <c r="H96" s="11"/>
      <c r="I96" s="72"/>
      <c r="J96" s="12"/>
      <c r="K96" s="11"/>
      <c r="L96" s="39"/>
      <c r="M96" s="12"/>
      <c r="N96" s="12"/>
      <c r="O96" s="103"/>
      <c r="P96" s="103"/>
      <c r="Q96" s="89"/>
    </row>
    <row r="97" spans="1:17">
      <c r="A97" s="136"/>
      <c r="B97" s="136"/>
      <c r="C97" s="136"/>
      <c r="D97" s="136"/>
      <c r="E97" s="136"/>
      <c r="F97" s="136"/>
      <c r="G97" s="136"/>
      <c r="H97" s="136"/>
      <c r="I97" s="136"/>
      <c r="J97" s="136"/>
      <c r="K97" s="136"/>
      <c r="L97" s="136"/>
      <c r="M97" s="136"/>
      <c r="N97" s="136"/>
      <c r="O97" s="136"/>
      <c r="P97" s="139"/>
      <c r="Q97" s="139"/>
    </row>
    <row r="98" spans="1:17">
      <c r="A98" s="89"/>
      <c r="B98" s="89"/>
      <c r="C98" s="89"/>
      <c r="D98" s="89"/>
      <c r="E98" s="89"/>
      <c r="F98" s="89"/>
      <c r="G98" s="89"/>
      <c r="H98" s="89"/>
      <c r="I98" s="89"/>
      <c r="J98" s="89"/>
      <c r="K98" s="89"/>
      <c r="L98" s="89"/>
      <c r="M98" s="89"/>
      <c r="N98" s="89"/>
      <c r="O98" s="89"/>
      <c r="P98" s="89"/>
      <c r="Q98" s="89"/>
    </row>
    <row r="99" spans="1:17">
      <c r="A99" s="89"/>
      <c r="B99" s="89"/>
      <c r="C99" s="89"/>
      <c r="D99" s="89"/>
      <c r="E99" s="89"/>
      <c r="F99" s="89"/>
      <c r="G99" s="89"/>
      <c r="H99" s="89"/>
      <c r="I99" s="89"/>
      <c r="J99" s="89"/>
      <c r="K99" s="89"/>
      <c r="L99" s="89"/>
      <c r="M99" s="89"/>
      <c r="N99" s="89"/>
      <c r="O99" s="89"/>
      <c r="P99" s="89"/>
      <c r="Q99" s="89"/>
    </row>
    <row r="100" spans="1:17">
      <c r="A100" s="54"/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</row>
    <row r="101" spans="1:17">
      <c r="A101" s="54"/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</row>
    <row r="102" spans="1:17">
      <c r="A102" s="54"/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</row>
    <row r="103" spans="1:17">
      <c r="A103" s="54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</row>
    <row r="104" spans="1:17">
      <c r="A104" s="54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</row>
    <row r="105" spans="1:17">
      <c r="A105" s="54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</row>
    <row r="106" spans="1:17">
      <c r="A106" s="54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</row>
    <row r="107" spans="1:17">
      <c r="A107" s="54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</row>
  </sheetData>
  <mergeCells count="4">
    <mergeCell ref="A46:Q46"/>
    <mergeCell ref="A97:Q97"/>
    <mergeCell ref="A50:Q50"/>
    <mergeCell ref="A1:Q1"/>
  </mergeCells>
  <phoneticPr fontId="2" type="noConversion"/>
  <pageMargins left="0.5" right="0.25" top="1.25" bottom="0.25" header="0.5" footer="0.5"/>
  <rowBreaks count="2" manualBreakCount="2">
    <brk id="47" max="16383" man="1" pt="1"/>
    <brk id="98" max="16383" man="1" pt="1"/>
  </rowBreaks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ReadMe</vt:lpstr>
      <vt:lpstr>BalSht</vt:lpstr>
      <vt:lpstr>IncExp</vt:lpstr>
      <vt:lpstr>RecExp</vt:lpstr>
      <vt:lpstr>Scen 1</vt:lpstr>
      <vt:lpstr>Scen 2</vt:lpstr>
      <vt:lpstr>Scen 3</vt:lpstr>
      <vt:lpstr>Scen 4</vt:lpstr>
      <vt:lpstr>Scen 5</vt:lpstr>
    </vt:vector>
  </TitlesOfParts>
  <Company>About Women's Health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Smith</dc:creator>
  <cp:lastModifiedBy>Fred Smith</cp:lastModifiedBy>
  <cp:lastPrinted>2017-02-28T03:00:25Z</cp:lastPrinted>
  <dcterms:created xsi:type="dcterms:W3CDTF">2010-02-16T17:03:00Z</dcterms:created>
  <dcterms:modified xsi:type="dcterms:W3CDTF">2019-12-03T19:25:44Z</dcterms:modified>
</cp:coreProperties>
</file>